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200.47\share\【助成金交付申請書　様式】\【20210301】助成金申請書_様式11号-6修正\助成金申請書（印なし）\"/>
    </mc:Choice>
  </mc:AlternateContent>
  <xr:revisionPtr revIDLastSave="0" documentId="8_{85BFED5B-02F9-494C-8C37-54266CB40555}" xr6:coauthVersionLast="46" xr6:coauthVersionMax="46" xr10:uidLastSave="{00000000-0000-0000-0000-000000000000}"/>
  <workbookProtection workbookPassword="ECA8" lockStructure="1"/>
  <bookViews>
    <workbookView xWindow="-120" yWindow="-120" windowWidth="19440" windowHeight="1500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10" l="1"/>
  <c r="H59" i="10"/>
  <c r="L32" i="10" l="1"/>
  <c r="A65" i="10" l="1"/>
  <c r="A64" i="10"/>
  <c r="A66" i="10" l="1"/>
  <c r="R34" i="10" l="1"/>
  <c r="R52" i="10"/>
  <c r="L50" i="10"/>
  <c r="R43" i="10"/>
  <c r="L41" i="10"/>
  <c r="R25" i="10"/>
  <c r="L23" i="10"/>
  <c r="R16" i="10"/>
  <c r="L14" i="10"/>
  <c r="D25" i="3" l="1"/>
  <c r="M162" i="66" l="1"/>
  <c r="M162" i="64"/>
  <c r="M162" i="65"/>
  <c r="M162" i="58"/>
  <c r="F52" i="10"/>
  <c r="F50" i="10"/>
  <c r="F43" i="10"/>
  <c r="F41" i="10"/>
  <c r="F34" i="10"/>
  <c r="F32" i="10"/>
  <c r="F23" i="10"/>
  <c r="F25" i="10"/>
  <c r="F16" i="10"/>
  <c r="F14" i="10"/>
  <c r="D19" i="3" l="1"/>
  <c r="D16" i="3"/>
  <c r="D13" i="3"/>
  <c r="D22" i="3"/>
  <c r="I12" i="3" l="1"/>
  <c r="Y10" i="19" l="1"/>
  <c r="W10" i="19" s="1"/>
  <c r="L3" i="19"/>
  <c r="A4" i="10" l="1"/>
  <c r="A4" i="2" l="1"/>
  <c r="A4" i="4"/>
  <c r="A4" i="3"/>
  <c r="A4" i="18"/>
  <c r="A4" i="13"/>
  <c r="Y16" i="19" l="1"/>
  <c r="W16" i="19" l="1"/>
  <c r="Y15" i="19"/>
  <c r="W15" i="19" s="1"/>
  <c r="N15" i="3" l="1"/>
  <c r="N10" i="3"/>
  <c r="E153" i="66" l="1"/>
  <c r="Z153" i="66" s="1"/>
  <c r="E151" i="66"/>
  <c r="X151" i="66" s="1"/>
  <c r="K89" i="66"/>
  <c r="N89" i="66" s="1"/>
  <c r="G89" i="66"/>
  <c r="C89" i="66"/>
  <c r="K47" i="66"/>
  <c r="G47" i="66"/>
  <c r="C47" i="66"/>
  <c r="Y151" i="66" l="1"/>
  <c r="U151" i="66"/>
  <c r="V151" i="66"/>
  <c r="Z151" i="66"/>
  <c r="W153" i="66"/>
  <c r="X153" i="66"/>
  <c r="W151" i="66"/>
  <c r="U153" i="66"/>
  <c r="Y153" i="66"/>
  <c r="V153" i="66"/>
  <c r="N47" i="66"/>
  <c r="T11" i="19" l="1"/>
  <c r="T12" i="19"/>
  <c r="T13" i="19"/>
  <c r="T14" i="19"/>
  <c r="T15" i="19" s="1"/>
  <c r="T10" i="19"/>
  <c r="AB9"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3" i="66" l="1"/>
  <c r="AJ27" i="66"/>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X93" i="66" s="1"/>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X97" i="66" s="1"/>
  <c r="AJ128" i="66"/>
  <c r="X129" i="66" s="1"/>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W152" i="66"/>
  <c r="U152" i="66"/>
  <c r="U154" i="66" s="1"/>
  <c r="X75" i="66"/>
  <c r="V152" i="66"/>
  <c r="V154" i="66" s="1"/>
  <c r="X9" i="66"/>
  <c r="X83" i="66"/>
  <c r="Z152" i="66"/>
  <c r="X109" i="66"/>
  <c r="E154" i="66"/>
  <c r="Y152" i="66"/>
  <c r="W154" i="66" s="1"/>
  <c r="X121" i="66"/>
  <c r="G135" i="66"/>
  <c r="N135" i="66" s="1"/>
  <c r="X133" i="66"/>
  <c r="X13" i="66"/>
  <c r="N89" i="64"/>
  <c r="N89" i="65"/>
  <c r="N135" i="65"/>
  <c r="N135" i="62"/>
  <c r="N89" i="62"/>
  <c r="N47" i="65"/>
  <c r="G89" i="58"/>
  <c r="X154" i="66" l="1"/>
  <c r="Z154" i="66"/>
  <c r="Y154" i="66"/>
  <c r="O46"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X121" i="65" s="1"/>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X25" i="64" s="1"/>
  <c r="AJ11" i="64"/>
  <c r="AJ12" i="64"/>
  <c r="AJ27" i="64"/>
  <c r="X29" i="64" s="1"/>
  <c r="AJ40" i="64"/>
  <c r="X41" i="64" s="1"/>
  <c r="AJ43" i="64"/>
  <c r="X45" i="64" s="1"/>
  <c r="AJ15" i="65"/>
  <c r="AJ24" i="65"/>
  <c r="AJ7" i="65"/>
  <c r="X9" i="65" s="1"/>
  <c r="AJ11" i="65"/>
  <c r="X13" i="65" s="1"/>
  <c r="AJ23" i="65"/>
  <c r="AJ31" i="65"/>
  <c r="AJ40" i="65"/>
  <c r="X41" i="65" s="1"/>
  <c r="O28"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X87" i="65" s="1"/>
  <c r="AJ100" i="65"/>
  <c r="X101" i="65" s="1"/>
  <c r="AJ108" i="65"/>
  <c r="X109" i="65" s="1"/>
  <c r="AJ19" i="64"/>
  <c r="AJ16" i="64"/>
  <c r="AJ50" i="64"/>
  <c r="AJ81" i="64"/>
  <c r="V136" i="64"/>
  <c r="V48" i="64"/>
  <c r="AJ7" i="64"/>
  <c r="AJ24" i="64"/>
  <c r="AJ49" i="64"/>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X117" i="62" s="1"/>
  <c r="AJ27" i="62"/>
  <c r="X29" i="62" s="1"/>
  <c r="AJ32" i="62"/>
  <c r="AJ73" i="62"/>
  <c r="X75" i="62" s="1"/>
  <c r="AJ78" i="62"/>
  <c r="AJ95" i="62"/>
  <c r="AJ100" i="62"/>
  <c r="AJ120" i="62"/>
  <c r="X121" i="62" s="1"/>
  <c r="AJ36" i="62"/>
  <c r="X21" i="64" l="1"/>
  <c r="X83" i="64"/>
  <c r="X51" i="64"/>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X105" i="58" s="1"/>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S25" i="19"/>
  <c r="AA5" i="19"/>
  <c r="L2" i="10"/>
  <c r="C6" i="13"/>
  <c r="C7" i="13"/>
  <c r="C6" i="18"/>
  <c r="C7" i="18"/>
  <c r="D6" i="3"/>
  <c r="D7" i="3"/>
  <c r="C6" i="4"/>
  <c r="C7" i="4"/>
  <c r="C6" i="2"/>
  <c r="C7" i="2"/>
  <c r="C5" i="10"/>
  <c r="C6" i="10"/>
  <c r="T25" i="19"/>
  <c r="B29" i="19"/>
  <c r="E37" i="19"/>
  <c r="I34" i="19"/>
  <c r="E32" i="19"/>
  <c r="AB10" i="19" l="1"/>
  <c r="S10" i="19" s="1"/>
  <c r="U11" i="19"/>
  <c r="I2" i="3"/>
  <c r="AA3" i="64"/>
  <c r="AA3" i="62"/>
  <c r="AA3" i="65"/>
  <c r="F2" i="4"/>
  <c r="AA3" i="58"/>
  <c r="F2" i="13"/>
  <c r="H2" i="2"/>
  <c r="F2" i="18"/>
  <c r="J2" i="10"/>
  <c r="Y11" i="19" l="1"/>
  <c r="W11" i="19" s="1"/>
  <c r="Q2" i="3"/>
  <c r="V11" i="19" l="1"/>
  <c r="AB11" i="19" s="1"/>
  <c r="S11" i="19" s="1"/>
  <c r="U25" i="19"/>
  <c r="U12" i="19" l="1"/>
  <c r="Y12" i="19" s="1"/>
  <c r="W12" i="19" s="1"/>
  <c r="M11" i="4"/>
  <c r="A14" i="10"/>
  <c r="O11" i="2"/>
  <c r="V25" i="19"/>
  <c r="M11" i="18"/>
  <c r="M15" i="10"/>
  <c r="T16" i="10" s="1"/>
  <c r="M11" i="13"/>
  <c r="W25" i="19"/>
  <c r="L10" i="4"/>
  <c r="L8" i="18"/>
  <c r="N10" i="2"/>
  <c r="L8" i="13"/>
  <c r="D10" i="10" l="1"/>
  <c r="V12" i="19"/>
  <c r="AB12" i="19" s="1"/>
  <c r="S12" i="19" s="1"/>
  <c r="U26" i="19"/>
  <c r="N11" i="4"/>
  <c r="O11" i="4" s="1"/>
  <c r="N11" i="18"/>
  <c r="O11" i="18" s="1"/>
  <c r="Q16" i="10" s="1"/>
  <c r="P16" i="10" s="1"/>
  <c r="D16" i="10" s="1"/>
  <c r="N11" i="13"/>
  <c r="O11" i="13" s="1"/>
  <c r="P11" i="2"/>
  <c r="Q11" i="2" s="1"/>
  <c r="O11" i="10" s="1"/>
  <c r="D11" i="10" s="1"/>
  <c r="S16" i="10"/>
  <c r="B18" i="10"/>
  <c r="G6" i="19"/>
  <c r="U13" i="19" l="1"/>
  <c r="Y13" i="19"/>
  <c r="W13" i="19" s="1"/>
  <c r="P11" i="13"/>
  <c r="AG3" i="62"/>
  <c r="A15" i="3"/>
  <c r="A23" i="10"/>
  <c r="N17" i="10"/>
  <c r="D17" i="10" s="1"/>
  <c r="O12" i="10"/>
  <c r="D12" i="10" s="1"/>
  <c r="M12" i="18"/>
  <c r="O12" i="2"/>
  <c r="M24" i="10"/>
  <c r="T25" i="10" s="1"/>
  <c r="M12" i="4"/>
  <c r="V26" i="19"/>
  <c r="M12" i="13"/>
  <c r="W26" i="19"/>
  <c r="T26" i="19"/>
  <c r="Q10" i="2"/>
  <c r="H19" i="2" s="1"/>
  <c r="O8" i="18"/>
  <c r="O24" i="18" s="1"/>
  <c r="F19" i="18" s="1"/>
  <c r="O8" i="13"/>
  <c r="F19" i="13" s="1"/>
  <c r="O10" i="4"/>
  <c r="F19" i="4" s="1"/>
  <c r="D13" i="10" l="1"/>
  <c r="D14" i="10" s="1"/>
  <c r="D19" i="10"/>
  <c r="V13" i="19"/>
  <c r="AB13" i="19" s="1"/>
  <c r="S13" i="19" s="1"/>
  <c r="L5" i="62"/>
  <c r="AF7" i="62"/>
  <c r="AF11" i="62" s="1"/>
  <c r="AF15" i="62" s="1"/>
  <c r="AJ3" i="62"/>
  <c r="A7" i="62"/>
  <c r="S25" i="10"/>
  <c r="B27" i="10"/>
  <c r="G19" i="2"/>
  <c r="N12" i="4"/>
  <c r="O12" i="4" s="1"/>
  <c r="N12" i="18"/>
  <c r="O12" i="18" s="1"/>
  <c r="Q25" i="10" s="1"/>
  <c r="P25" i="10" s="1"/>
  <c r="P12" i="2"/>
  <c r="Q12" i="2" s="1"/>
  <c r="U27" i="19"/>
  <c r="AG3" i="65" s="1"/>
  <c r="L5" i="65" s="1"/>
  <c r="N12" i="13"/>
  <c r="O12" i="13" s="1"/>
  <c r="M17" i="10"/>
  <c r="U14" i="19" l="1"/>
  <c r="A10" i="62"/>
  <c r="L48" i="62"/>
  <c r="L90" i="62"/>
  <c r="AH3" i="62"/>
  <c r="A127" i="62" s="1"/>
  <c r="R128" i="62" s="1"/>
  <c r="L136" i="62"/>
  <c r="R8" i="62"/>
  <c r="T7" i="62"/>
  <c r="R7" i="62"/>
  <c r="T8" i="62"/>
  <c r="A14" i="62"/>
  <c r="A11" i="62"/>
  <c r="AK11" i="62" s="1"/>
  <c r="AK8" i="62"/>
  <c r="AK7" i="62"/>
  <c r="A7" i="65"/>
  <c r="AF19" i="62"/>
  <c r="A18" i="62"/>
  <c r="AF7" i="65"/>
  <c r="AF11" i="65" s="1"/>
  <c r="AJ3" i="65"/>
  <c r="A18" i="3"/>
  <c r="N26" i="10"/>
  <c r="D26" i="10" s="1"/>
  <c r="O20" i="10"/>
  <c r="D20" i="10" s="1"/>
  <c r="O21" i="10"/>
  <c r="D25" i="10"/>
  <c r="V27" i="19"/>
  <c r="M33" i="10"/>
  <c r="T34" i="10" s="1"/>
  <c r="A32" i="10"/>
  <c r="M13" i="4"/>
  <c r="M13" i="18"/>
  <c r="O13" i="2"/>
  <c r="M13" i="13"/>
  <c r="T27" i="19"/>
  <c r="W27" i="19"/>
  <c r="D21" i="10" l="1"/>
  <c r="D22" i="10" s="1"/>
  <c r="D28" i="10"/>
  <c r="Y14" i="19"/>
  <c r="V14" i="19" s="1"/>
  <c r="AB14" i="19" s="1"/>
  <c r="S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AG3" i="64" s="1"/>
  <c r="D9" i="64" s="1"/>
  <c r="N13" i="18"/>
  <c r="O13" i="18" s="1"/>
  <c r="P13" i="2"/>
  <c r="Q13" i="2" s="1"/>
  <c r="N13" i="13"/>
  <c r="O13" i="13" s="1"/>
  <c r="M26" i="10"/>
  <c r="D23" i="10" l="1"/>
  <c r="U15" i="19"/>
  <c r="V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4" i="10"/>
  <c r="P34" i="10" s="1"/>
  <c r="D34" i="10" s="1"/>
  <c r="N35" i="10"/>
  <c r="D35" i="10" s="1"/>
  <c r="O30" i="10"/>
  <c r="O29" i="10"/>
  <c r="D29" i="10" s="1"/>
  <c r="V28" i="19"/>
  <c r="M14" i="13"/>
  <c r="M42" i="10"/>
  <c r="T43" i="10" s="1"/>
  <c r="M14" i="18"/>
  <c r="M14" i="4"/>
  <c r="O14" i="2"/>
  <c r="A41" i="10"/>
  <c r="T28" i="19"/>
  <c r="W28" i="19"/>
  <c r="D30" i="10" l="1"/>
  <c r="D31" i="10" s="1"/>
  <c r="AB15" i="19"/>
  <c r="S15" i="19" s="1"/>
  <c r="U16" i="19"/>
  <c r="V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N14" i="13"/>
  <c r="O14" i="13" s="1"/>
  <c r="D32" i="10" l="1"/>
  <c r="AB16" i="19"/>
  <c r="S16" i="19" s="1"/>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D53" i="10" l="1"/>
  <c r="D52" i="10"/>
  <c r="D50" i="10"/>
  <c r="L5" i="66"/>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P15" i="2"/>
  <c r="Q15" i="2" s="1"/>
  <c r="O47" i="10" s="1"/>
  <c r="N15" i="4"/>
  <c r="O15" i="4" s="1"/>
  <c r="O48" i="10" s="1"/>
  <c r="M44" i="10"/>
  <c r="Q44" i="10"/>
  <c r="D47" i="10" l="1"/>
  <c r="D48" i="10" s="1"/>
  <c r="D49" i="10" s="1"/>
  <c r="AF11" i="66"/>
  <c r="A14" i="66" s="1"/>
  <c r="N53" i="10"/>
  <c r="M53" i="10" s="1"/>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D61" i="10" l="1"/>
  <c r="E27" i="19" s="1"/>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I13" i="3"/>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I14" i="3"/>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O13" i="10"/>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I21" i="3"/>
  <c r="I22" i="3"/>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I23" i="3"/>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O40" i="10"/>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5" i="65" s="1"/>
  <c r="A84" i="65"/>
  <c r="AF77" i="64"/>
  <c r="A76" i="64"/>
  <c r="AF95" i="62"/>
  <c r="A94" i="62"/>
  <c r="AK78" i="65"/>
  <c r="AK77" i="65"/>
  <c r="AK69" i="64"/>
  <c r="AK70" i="64"/>
  <c r="AK86" i="62"/>
  <c r="AK85" i="62"/>
  <c r="V36" i="19"/>
  <c r="O22" i="2"/>
  <c r="M22" i="13"/>
  <c r="T36" i="19"/>
  <c r="M22" i="18"/>
  <c r="M22" i="4"/>
  <c r="W36" i="19"/>
  <c r="T81" i="65" l="1"/>
  <c r="R81" i="65"/>
  <c r="T82" i="65"/>
  <c r="A95" i="62"/>
  <c r="R96" i="62" s="1"/>
  <c r="R73" i="64"/>
  <c r="A77" i="64"/>
  <c r="T78" i="64" s="1"/>
  <c r="R74" i="64"/>
  <c r="R92" i="62"/>
  <c r="T73" i="64"/>
  <c r="T91" i="62"/>
  <c r="R91" i="62"/>
  <c r="T62" i="66"/>
  <c r="R61" i="66"/>
  <c r="R62" i="66"/>
  <c r="T61" i="66"/>
  <c r="A65" i="66"/>
  <c r="Q59" i="66"/>
  <c r="T77" i="64"/>
  <c r="T85" i="65"/>
  <c r="T86" i="65"/>
  <c r="R86" i="65"/>
  <c r="R85" i="65"/>
  <c r="Q79" i="65"/>
  <c r="Q71" i="64"/>
  <c r="Q87" i="62"/>
  <c r="AF69" i="66"/>
  <c r="A72" i="66" s="1"/>
  <c r="AK61" i="66"/>
  <c r="AK62" i="66"/>
  <c r="AF81" i="64"/>
  <c r="A80" i="64"/>
  <c r="AF99" i="62"/>
  <c r="A99" i="62" s="1"/>
  <c r="A98" i="62"/>
  <c r="AF91" i="65"/>
  <c r="A91" i="65" s="1"/>
  <c r="A88" i="65"/>
  <c r="AK81" i="65"/>
  <c r="AK82" i="65"/>
  <c r="AK73" i="64"/>
  <c r="AK74" i="64"/>
  <c r="AK92" i="62"/>
  <c r="AK91" i="62"/>
  <c r="N22" i="4"/>
  <c r="O22" i="4" s="1"/>
  <c r="P22" i="4" s="1"/>
  <c r="N22" i="18"/>
  <c r="O22" i="18" s="1"/>
  <c r="P22" i="2"/>
  <c r="Q22" i="2" s="1"/>
  <c r="R22" i="2" s="1"/>
  <c r="N22" i="13"/>
  <c r="O22" i="13" s="1"/>
  <c r="T96" i="62" l="1"/>
  <c r="T95" i="62"/>
  <c r="R95" i="62"/>
  <c r="R77" i="64"/>
  <c r="A81" i="64"/>
  <c r="T82" i="64" s="1"/>
  <c r="R78" i="64"/>
  <c r="T66" i="66"/>
  <c r="R66" i="66"/>
  <c r="R65" i="66"/>
  <c r="T65" i="66"/>
  <c r="A69" i="66"/>
  <c r="Q63" i="66"/>
  <c r="Q93" i="62"/>
  <c r="T99" i="62"/>
  <c r="T100" i="62"/>
  <c r="R99" i="62"/>
  <c r="R100"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I16" i="3"/>
  <c r="R81" i="64" l="1"/>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<sst xmlns="http://schemas.openxmlformats.org/spreadsheetml/2006/main" count="3061" uniqueCount="313">
  <si>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</si>
  <si>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</si>
  <si>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</si>
  <si>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</si>
  <si>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</si>
  <si>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</si>
  <si>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</si>
  <si>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</si>
  <si>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</si>
  <si>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</si>
  <si>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</si>
  <si>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</si>
  <si>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</si>
  <si>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</si>
  <si>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</si>
  <si>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</si>
  <si>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</si>
  <si>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</si>
  <si>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</si>
  <si>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</si>
  <si>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</si>
  <si>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</si>
  <si>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</si>
  <si>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</si>
  <si>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</si>
  <si>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</si>
  <si>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</si>
  <si>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</si>
  <si>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</si>
  <si>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</si>
  <si>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</si>
  <si>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</si>
  <si>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</si>
  <si>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</si>
  <si>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</si>
  <si>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</si>
  <si>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</si>
  <si>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</si>
  <si>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</si>
  <si>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</si>
  <si>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</si>
  <si>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</si>
  <si>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</si>
  <si>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</si>
  <si>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</si>
  <si>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</si>
  <si>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</si>
  <si>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</si>
  <si>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</si>
  <si>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</si>
  <si>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</si>
  <si>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</si>
  <si>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</si>
  <si>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</si>
  <si>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</si>
  <si>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</si>
  <si>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</si>
  <si>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</si>
  <si>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</si>
  <si>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</si>
  <si>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</si>
  <si>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</si>
  <si>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</si>
  <si>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</si>
  <si>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</si>
  <si>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</si>
  <si>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</si>
  <si>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</si>
  <si>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</si>
  <si>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</si>
  <si>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</si>
  <si>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</si>
  <si>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</si>
  <si>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</si>
  <si>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</si>
  <si>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</si>
  <si>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</si>
  <si>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</si>
  <si>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</si>
  <si>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</si>
  <si>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</si>
  <si>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</si>
  <si>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</si>
  <si>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</si>
  <si>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</si>
  <si>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</si>
  <si>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</si>
  <si>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</si>
  <si>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</si>
  <si>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</si>
  <si>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</si>
  <si>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</si>
  <si>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</si>
  <si>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</si>
  <si>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</si>
  <si>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</si>
  <si>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</si>
  <si>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</si>
  <si>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</si>
  <si>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</si>
  <si>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</si>
  <si>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</si>
  <si>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</si>
  <si>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</si>
  <si>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</si>
  <si>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</si>
  <si>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</si>
  <si>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</si>
  <si>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</si>
  <si>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</si>
  <si>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</si>
  <si>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</si>
  <si>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</si>
  <si>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</si>
  <si>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</si>
  <si>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</si>
  <si>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</si>
  <si>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</si>
  <si>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</si>
  <si>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</si>
  <si>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</si>
  <si>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</si>
  <si>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</si>
  <si>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</si>
  <si>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</si>
  <si>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</si>
  <si>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</si>
  <si>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</si>
  <si>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</si>
  <si>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</si>
  <si>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</si>
  <si>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</si>
  <si>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</si>
  <si>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</si>
  <si>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</si>
  <si>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</si>
  <si>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</si>
  <si>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</si>
  <si>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</si>
  <si>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</si>
  <si>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</si>
  <si>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</si>
  <si>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</si>
  <si>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</si>
  <si>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</si>
  <si>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</si>
  <si>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</si>
  <si>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</si>
  <si>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</si>
  <si>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</si>
  <si>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</si>
  <si>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</si>
  <si>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</si>
  <si>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</si>
  <si>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</si>
  <si>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</si>
  <si>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</si>
  <si>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</si>
  <si>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</si>
  <si>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</si>
  <si>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</si>
  <si>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</si>
  <si>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</si>
  <si>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</si>
  <si>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</si>
  <si>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</si>
  <si>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</si>
  <si>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</si>
  <si>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</si>
  <si>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</si>
  <si>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</si>
  <si>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</si>
  <si>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</si>
  <si>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</si>
  <si>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</si>
  <si>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</si>
  <si>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</si>
  <si>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</si>
  <si>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</si>
  <si>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</si>
  <si>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</si>
  <si>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</si>
  <si>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</si>
  <si>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</si>
  <si>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</si>
  <si>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</si>
  <si>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</si>
  <si>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</si>
  <si>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</si>
  <si>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</si>
  <si>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</si>
  <si>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</si>
  <si>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</si>
  <si>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</si>
  <si>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</si>
  <si>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</si>
  <si>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</si>
  <si>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</si>
  <si>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</si>
  <si>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</si>
  <si>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</si>
  <si>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</si>
  <si>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</si>
  <si>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</si>
  <si>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</si>
  <si>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</si>
  <si>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</si>
  <si>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</si>
  <si>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</si>
  <si>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</si>
  <si>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</si>
  <si>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</si>
  <si>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</si>
  <si>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</si>
  <si>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</si>
  <si>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</si>
  <si>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</si>
  <si>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</si>
  <si>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</si>
  <si>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</si>
  <si>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</si>
  <si>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</si>
  <si>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</si>
  <si>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</si>
  <si>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</si>
  <si>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</si>
  <si>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</si>
  <si>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</si>
  <si>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</si>
  <si>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</si>
  <si>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</si>
  <si>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</si>
  <si>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</si>
  <si>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</si>
  <si>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</si>
  <si>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</si>
  <si>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</si>
  <si>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</si>
  <si>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</si>
  <si>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</si>
  <si>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</si>
  <si>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</si>
  <si>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</si>
  <si>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</si>
  <si>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</si>
  <si>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</si>
  <si>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</si>
  <si>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</si>
  <si>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</si>
  <si>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</si>
  <si>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</si>
  <si>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</si>
  <si>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</si>
  <si>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</si>
  <si>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</si>
  <si>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</si>
  <si>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</si>
  <si>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</si>
  <si>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</si>
  <si>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</si>
  <si>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</si>
  <si>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</si>
  <si>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</si>
  <si>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</si>
  <si>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</si>
  <si>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</si>
  <si>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</si>
  <si>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</si>
  <si>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</si>
  <si>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</si>
  <si>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</si>
  <si>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</si>
  <si>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</si>
  <si>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</si>
  <si>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</si>
  <si>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</si>
  <si>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</si>
  <si>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</si>
  <si>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</si>
  <si>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</si>
  <si>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</si>
  <si>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</si>
  <si>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</si>
  <si>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</si>
  <si>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</si>
  <si>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</si>
  <si>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</si>
  <si>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</si>
  <si>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2-1</t>
    <phoneticPr fontId="2"/>
  </si>
  <si>
    <t>〈令和２年度第１回〉</t>
  </si>
  <si>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</si>
  <si>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</si>
  <si>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</si>
  <si>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</si>
  <si>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</si>
  <si>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</si>
  <si>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</si>
  <si>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</si>
  <si>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研修生に係る雇用保険料、労働者災害補償保険の事業主負担分です。</t>
    <phoneticPr fontId="2"/>
  </si>
  <si>
    <t>●労災保険料（２０２０年３月現在13／1000）</t>
    <phoneticPr fontId="2"/>
  </si>
  <si>
    <t>　明細書には、研修生の月額給与○○○円×13／1000＝○○○○円と記載</t>
    <phoneticPr fontId="2"/>
  </si>
  <si>
    <t>●雇用保険料（２０２０年３月現在 農業一般7／1000）</t>
    <phoneticPr fontId="2"/>
  </si>
  <si>
    <t>　明細書には、研修生の月額給与○○○円×7／1000＝○○○○円と記載</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</si>
  <si>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</si>
  <si>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</si>
  <si>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</si>
  <si>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</si>
  <si>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</si>
  <si>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</si>
  <si>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</si>
  <si>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２　当該申請書に係る申請書（内訳）（様式研第11号）を添付すること。</t>
    <phoneticPr fontId="2"/>
  </si>
  <si>
    <t>　　（様式研第11号は領収書等の証拠書類とともに写しを5年間保管すること。）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</si>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</sst>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79">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30">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2"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3"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3" xfId="0" applyFont="1" applyBorder="1" applyAlignment="1" applyProtection="1">
      <alignment horizontal="center" vertical="top" wrapText="1"/>
    </xf>
    <xf numFmtId="184" fontId="5" fillId="4" borderId="112"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4" xfId="0" applyFont="1" applyBorder="1" applyAlignment="1" applyProtection="1">
      <alignment horizontal="center" vertical="top" wrapText="1"/>
    </xf>
    <xf numFmtId="0" fontId="6" fillId="0" borderId="112"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3"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84" fontId="5" fillId="4" borderId="113" xfId="0" applyNumberFormat="1" applyFont="1" applyFill="1" applyBorder="1" applyAlignment="1" applyProtection="1">
      <alignment horizontal="center" vertical="center" wrapText="1"/>
    </xf>
    <xf numFmtId="0" fontId="6" fillId="0" borderId="115"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4"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8"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9" xfId="0" applyNumberFormat="1" applyFont="1" applyFill="1" applyBorder="1" applyAlignment="1" applyProtection="1">
      <alignment horizontal="center" vertical="center" wrapText="1"/>
    </xf>
    <xf numFmtId="0" fontId="6" fillId="0" borderId="119"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4"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81" fillId="4" borderId="112"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2" xfId="0" applyNumberFormat="1" applyFont="1" applyFill="1" applyBorder="1" applyAlignment="1" applyProtection="1">
      <alignment horizontal="center" vertical="center" wrapText="1"/>
    </xf>
    <xf numFmtId="0" fontId="83" fillId="0" borderId="115" xfId="0" applyFont="1" applyBorder="1" applyAlignment="1" applyProtection="1">
      <alignment vertical="center" wrapText="1"/>
    </xf>
    <xf numFmtId="0" fontId="54" fillId="0" borderId="112"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2"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85" fillId="0" borderId="4" xfId="0" applyNumberFormat="1" applyFont="1" applyFill="1" applyBorder="1" applyAlignment="1" applyProtection="1">
      <alignment horizontal="center" vertical="center"/>
    </xf>
    <xf numFmtId="0" fontId="86"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4" fillId="0" borderId="69" xfId="0" applyNumberFormat="1" applyFont="1" applyFill="1" applyBorder="1" applyAlignment="1" applyProtection="1">
      <alignment horizontal="center" vertical="center"/>
    </xf>
    <xf numFmtId="182" fontId="29" fillId="0" borderId="124" xfId="0" applyNumberFormat="1" applyFont="1" applyBorder="1" applyAlignment="1" applyProtection="1">
      <alignment horizontal="center" vertical="center" shrinkToFit="1"/>
    </xf>
    <xf numFmtId="187" fontId="29" fillId="0" borderId="125" xfId="0" applyNumberFormat="1" applyFont="1" applyFill="1" applyBorder="1" applyAlignment="1" applyProtection="1">
      <alignment shrinkToFit="1"/>
    </xf>
    <xf numFmtId="0" fontId="29" fillId="0" borderId="117" xfId="0" applyFont="1" applyFill="1" applyBorder="1" applyAlignment="1" applyProtection="1">
      <alignment shrinkToFit="1"/>
    </xf>
    <xf numFmtId="0" fontId="29" fillId="0" borderId="118" xfId="0" applyFont="1" applyFill="1" applyBorder="1" applyAlignment="1" applyProtection="1">
      <alignment shrinkToFit="1"/>
    </xf>
    <xf numFmtId="0" fontId="29" fillId="0" borderId="134"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5" xfId="0" applyFont="1" applyFill="1" applyBorder="1" applyAlignment="1" applyProtection="1">
      <alignment shrinkToFit="1"/>
    </xf>
    <xf numFmtId="0" fontId="29" fillId="0" borderId="137"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0" fontId="29" fillId="0" borderId="142"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4" xfId="0" applyFont="1" applyFill="1" applyBorder="1" applyAlignment="1" applyProtection="1">
      <alignment shrinkToFit="1"/>
    </xf>
    <xf numFmtId="0" fontId="29" fillId="0" borderId="145"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3" xfId="0" applyNumberFormat="1" applyFont="1" applyFill="1" applyBorder="1" applyAlignment="1" applyProtection="1">
      <alignment vertical="center" shrinkToFit="1"/>
    </xf>
    <xf numFmtId="49" fontId="97" fillId="0" borderId="120" xfId="0" applyNumberFormat="1" applyFont="1" applyFill="1" applyBorder="1" applyAlignment="1" applyProtection="1">
      <alignment horizontal="center" vertical="center" shrinkToFit="1"/>
    </xf>
    <xf numFmtId="0" fontId="100" fillId="0" borderId="148" xfId="0" applyFont="1" applyFill="1" applyBorder="1"/>
    <xf numFmtId="0" fontId="99" fillId="0" borderId="146" xfId="0" applyFont="1" applyFill="1" applyBorder="1" applyAlignment="1" applyProtection="1"/>
    <xf numFmtId="0" fontId="98" fillId="0" borderId="147" xfId="0" applyFont="1" applyFill="1" applyBorder="1" applyAlignment="1" applyProtection="1">
      <alignment horizontal="right"/>
    </xf>
    <xf numFmtId="0" fontId="98" fillId="0" borderId="149" xfId="0" applyFont="1" applyFill="1" applyBorder="1" applyAlignment="1" applyProtection="1">
      <alignment horizontal="right" vertical="center"/>
    </xf>
    <xf numFmtId="0" fontId="94" fillId="0" borderId="0" xfId="0" applyFont="1" applyFill="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98" fillId="0" borderId="148" xfId="0" applyFont="1" applyFill="1" applyBorder="1" applyAlignment="1" applyProtection="1">
      <alignment horizontal="left"/>
    </xf>
    <xf numFmtId="0" fontId="0" fillId="0" borderId="149" xfId="0" applyFill="1" applyBorder="1" applyAlignment="1" applyProtection="1"/>
    <xf numFmtId="0" fontId="0" fillId="0" borderId="151" xfId="0" applyFill="1" applyBorder="1" applyAlignment="1" applyProtection="1"/>
    <xf numFmtId="0" fontId="27" fillId="0" borderId="151"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7" xfId="0" applyFont="1" applyFill="1" applyBorder="1" applyAlignment="1" applyProtection="1">
      <alignment shrinkToFit="1"/>
    </xf>
    <xf numFmtId="0" fontId="67" fillId="0" borderId="117" xfId="0" applyFont="1" applyFill="1" applyBorder="1" applyAlignment="1" applyProtection="1">
      <alignment horizontal="center" vertical="center" shrinkToFit="1"/>
    </xf>
    <xf numFmtId="0" fontId="68" fillId="0" borderId="117" xfId="0" applyFont="1" applyFill="1" applyBorder="1" applyAlignment="1" applyProtection="1">
      <alignment horizontal="right" vertical="center" shrinkToFit="1"/>
    </xf>
    <xf numFmtId="176" fontId="66" fillId="0" borderId="117" xfId="0" applyNumberFormat="1" applyFont="1" applyFill="1" applyBorder="1" applyAlignment="1" applyProtection="1">
      <alignment horizontal="right" shrinkToFit="1"/>
    </xf>
    <xf numFmtId="0" fontId="69" fillId="0" borderId="117"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6"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6"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21" xfId="0" applyFont="1" applyFill="1" applyBorder="1" applyAlignment="1" applyProtection="1">
      <alignment shrinkToFit="1"/>
    </xf>
    <xf numFmtId="38" fontId="72" fillId="0" borderId="141" xfId="0" applyNumberFormat="1" applyFont="1" applyFill="1" applyBorder="1" applyAlignment="1" applyProtection="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Fill="1" applyBorder="1" applyAlignment="1" applyProtection="1">
      <alignment shrinkToFit="1"/>
    </xf>
    <xf numFmtId="0" fontId="72" fillId="0" borderId="143" xfId="0" applyFont="1" applyFill="1" applyBorder="1" applyAlignment="1" applyProtection="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Fill="1" applyBorder="1" applyAlignment="1" applyProtection="1">
      <alignment horizontal="right" shrinkToFit="1"/>
    </xf>
    <xf numFmtId="0" fontId="34" fillId="0" borderId="135" xfId="0" applyFont="1" applyFill="1" applyBorder="1" applyAlignment="1" applyProtection="1">
      <alignment shrinkToFit="1"/>
    </xf>
    <xf numFmtId="0" fontId="72" fillId="0" borderId="139" xfId="0" applyFont="1" applyFill="1" applyBorder="1" applyAlignment="1" applyProtection="1">
      <alignment shrinkToFit="1"/>
    </xf>
    <xf numFmtId="0" fontId="73" fillId="0" borderId="134" xfId="1" applyFont="1" applyFill="1" applyBorder="1" applyAlignment="1" applyProtection="1">
      <alignment shrinkToFit="1"/>
      <protection hidden="1"/>
    </xf>
    <xf numFmtId="3" fontId="29" fillId="0" borderId="134"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5" xfId="0" applyFont="1" applyFill="1" applyBorder="1" applyAlignment="1" applyProtection="1">
      <alignment horizontal="left" shrinkToFit="1"/>
    </xf>
    <xf numFmtId="0" fontId="65" fillId="0" borderId="135" xfId="0" applyFont="1" applyFill="1" applyBorder="1" applyAlignment="1" applyProtection="1">
      <alignment horizontal="right" shrinkToFit="1"/>
    </xf>
    <xf numFmtId="0" fontId="29" fillId="0" borderId="134" xfId="0" applyFont="1" applyFill="1" applyBorder="1" applyAlignment="1" applyProtection="1">
      <alignment horizontal="left" shrinkToFit="1"/>
    </xf>
    <xf numFmtId="181" fontId="29" fillId="0" borderId="141" xfId="0" applyNumberFormat="1" applyFont="1" applyFill="1" applyBorder="1" applyAlignment="1" applyProtection="1">
      <alignment shrinkToFit="1"/>
    </xf>
    <xf numFmtId="0" fontId="29" fillId="0" borderId="141" xfId="0" applyFont="1" applyFill="1" applyBorder="1" applyAlignment="1" applyProtection="1">
      <alignment shrinkToFit="1"/>
    </xf>
    <xf numFmtId="0" fontId="29" fillId="0" borderId="143"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6" xfId="0" applyFont="1" applyFill="1" applyBorder="1" applyAlignment="1" applyProtection="1">
      <alignment shrinkToFit="1"/>
    </xf>
    <xf numFmtId="0" fontId="96" fillId="0" borderId="126" xfId="0" applyFont="1" applyBorder="1" applyAlignment="1">
      <alignment shrinkToFit="1"/>
    </xf>
    <xf numFmtId="0" fontId="28" fillId="0" borderId="127" xfId="0" applyFont="1" applyFill="1" applyBorder="1" applyAlignment="1" applyProtection="1">
      <alignment horizontal="center" vertical="center" shrinkToFit="1"/>
    </xf>
    <xf numFmtId="0" fontId="29" fillId="0" borderId="128" xfId="0" applyFont="1" applyFill="1" applyBorder="1" applyAlignment="1" applyProtection="1">
      <alignment horizontal="center" vertical="center" shrinkToFit="1"/>
    </xf>
    <xf numFmtId="0" fontId="39" fillId="0" borderId="130" xfId="0" applyFont="1" applyFill="1" applyBorder="1" applyAlignment="1" applyProtection="1">
      <alignment horizontal="center" vertical="center" wrapText="1" shrinkToFit="1"/>
    </xf>
    <xf numFmtId="0" fontId="65" fillId="0" borderId="133" xfId="0" applyFont="1" applyFill="1" applyBorder="1" applyAlignment="1" applyProtection="1">
      <alignment horizontal="center" vertical="center" shrinkToFit="1"/>
    </xf>
    <xf numFmtId="0" fontId="76" fillId="0" borderId="128"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1" xfId="0" applyFont="1" applyFill="1" applyBorder="1" applyAlignment="1" applyProtection="1">
      <alignment horizontal="center" vertical="center" shrinkToFit="1"/>
    </xf>
    <xf numFmtId="0" fontId="29" fillId="0" borderId="132" xfId="0" applyFont="1" applyFill="1" applyBorder="1" applyAlignment="1" applyProtection="1">
      <alignment horizontal="center" vertical="center" shrinkToFit="1"/>
    </xf>
    <xf numFmtId="14" fontId="101" fillId="0" borderId="116" xfId="0" applyNumberFormat="1"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3" fontId="29" fillId="0" borderId="157" xfId="0" applyNumberFormat="1" applyFont="1" applyFill="1" applyBorder="1" applyAlignment="1" applyProtection="1">
      <alignment horizontal="right" shrinkToFit="1"/>
    </xf>
    <xf numFmtId="0" fontId="34" fillId="0" borderId="158" xfId="0" applyFont="1" applyFill="1" applyBorder="1" applyAlignment="1" applyProtection="1">
      <alignment shrinkToFit="1"/>
    </xf>
    <xf numFmtId="195" fontId="94" fillId="0" borderId="160" xfId="0" applyNumberFormat="1" applyFont="1" applyFill="1" applyBorder="1" applyAlignment="1" applyProtection="1">
      <alignment shrinkToFit="1"/>
    </xf>
    <xf numFmtId="195" fontId="94" fillId="0" borderId="160" xfId="0" applyNumberFormat="1" applyFont="1" applyFill="1" applyBorder="1" applyAlignment="1" applyProtection="1">
      <alignment vertical="center" shrinkToFit="1"/>
    </xf>
    <xf numFmtId="195" fontId="94" fillId="0" borderId="161" xfId="0" applyNumberFormat="1" applyFont="1" applyFill="1" applyBorder="1" applyAlignment="1" applyProtection="1">
      <alignment vertical="top" shrinkToFit="1"/>
    </xf>
    <xf numFmtId="0" fontId="103" fillId="0" borderId="159"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7"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xf>
    <xf numFmtId="188"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8" fontId="0" fillId="0" borderId="98" xfId="0" applyNumberFormat="1"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protection locked="0"/>
    </xf>
    <xf numFmtId="188" fontId="0" fillId="0" borderId="169"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70" xfId="0" applyNumberFormat="1" applyFont="1" applyFill="1" applyBorder="1" applyAlignment="1" applyProtection="1">
      <alignment horizontal="right" vertical="center"/>
    </xf>
    <xf numFmtId="182"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197" fontId="34" fillId="0" borderId="70"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98" fontId="29" fillId="0" borderId="68" xfId="0" applyNumberFormat="1" applyFont="1" applyFill="1" applyBorder="1" applyAlignment="1" applyProtection="1">
      <alignment horizontal="left" vertical="center" shrinkToFit="1"/>
    </xf>
    <xf numFmtId="198" fontId="29" fillId="0" borderId="20"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197" fontId="34" fillId="0" borderId="71" xfId="0" applyNumberFormat="1" applyFont="1" applyFill="1" applyBorder="1" applyAlignment="1" applyProtection="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3" xfId="0" applyNumberFormat="1" applyFont="1" applyFill="1" applyBorder="1" applyAlignment="1" applyProtection="1">
      <alignment vertical="center"/>
    </xf>
    <xf numFmtId="177" fontId="8" fillId="3" borderId="101"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9" fillId="0" borderId="68" xfId="0" applyNumberFormat="1" applyFont="1" applyFill="1" applyBorder="1" applyAlignment="1" applyProtection="1">
      <alignment horizontal="center" vertical="center"/>
    </xf>
    <xf numFmtId="204" fontId="14" fillId="4" borderId="46" xfId="0" applyNumberFormat="1" applyFont="1" applyFill="1" applyBorder="1" applyAlignment="1" applyProtection="1">
      <alignment horizontal="center"/>
      <protection locked="0"/>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7" xfId="0" applyNumberFormat="1" applyFont="1" applyFill="1" applyBorder="1" applyAlignment="1" applyProtection="1">
      <alignment horizontal="center" vertical="center" shrinkToFit="1"/>
    </xf>
    <xf numFmtId="0" fontId="40" fillId="0" borderId="178" xfId="0" applyNumberFormat="1" applyFont="1" applyFill="1" applyBorder="1" applyAlignment="1" applyProtection="1">
      <alignment horizontal="center" vertical="center" shrinkToFit="1"/>
    </xf>
    <xf numFmtId="0" fontId="111" fillId="0" borderId="150"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8"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4" fillId="4" borderId="42" xfId="0" applyNumberFormat="1" applyFont="1" applyFill="1" applyBorder="1" applyAlignment="1" applyProtection="1">
      <alignment vertical="center" wrapText="1"/>
      <protection locked="0"/>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12" fillId="0" borderId="152" xfId="0" applyFont="1" applyFill="1" applyBorder="1" applyAlignment="1" applyProtection="1">
      <alignment horizontal="left" vertical="center" wrapText="1" shrinkToFit="1"/>
    </xf>
    <xf numFmtId="0" fontId="0" fillId="0" borderId="153" xfId="0" applyFont="1" applyBorder="1" applyAlignment="1">
      <alignment horizontal="left" wrapText="1" shrinkToFit="1"/>
    </xf>
    <xf numFmtId="0" fontId="0" fillId="0" borderId="154" xfId="0" applyFont="1" applyBorder="1" applyAlignment="1">
      <alignment horizontal="left" wrapText="1" shrinkToFit="1"/>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7" fillId="4" borderId="20" xfId="0" applyFont="1" applyFill="1" applyBorder="1" applyAlignment="1" applyProtection="1">
      <alignment horizontal="left" vertical="center"/>
      <protection locked="0"/>
    </xf>
    <xf numFmtId="0" fontId="17" fillId="4" borderId="44" xfId="0" applyFont="1" applyFill="1" applyBorder="1" applyAlignment="1" applyProtection="1">
      <alignment horizontal="left" vertical="center"/>
      <protection locked="0"/>
    </xf>
    <xf numFmtId="0" fontId="17" fillId="4" borderId="45"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0" fontId="46" fillId="0" borderId="52" xfId="0" quotePrefix="1" applyFont="1" applyFill="1" applyBorder="1" applyAlignment="1" applyProtection="1">
      <alignment horizontal="left" vertical="center"/>
    </xf>
    <xf numFmtId="0" fontId="0" fillId="0" borderId="16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193" fontId="0" fillId="0" borderId="163"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shrinkToFit="1"/>
    </xf>
    <xf numFmtId="0" fontId="0" fillId="0" borderId="163" xfId="0" applyFont="1" applyFill="1" applyBorder="1" applyAlignment="1">
      <alignment horizontal="center" vertical="center" wrapText="1"/>
    </xf>
    <xf numFmtId="0" fontId="0" fillId="0" borderId="162" xfId="0" applyFont="1" applyFill="1" applyBorder="1" applyAlignment="1">
      <alignment horizontal="center"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66" xfId="0" applyFont="1" applyFill="1" applyBorder="1" applyAlignment="1" applyProtection="1">
      <alignment horizontal="center" vertical="center"/>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192" fontId="104" fillId="0" borderId="52" xfId="0" applyNumberFormat="1" applyFont="1" applyFill="1" applyBorder="1" applyAlignment="1" applyProtection="1">
      <alignment horizontal="left" vertical="top" wrapText="1"/>
    </xf>
    <xf numFmtId="196" fontId="104" fillId="3" borderId="52" xfId="0" applyNumberFormat="1" applyFont="1" applyFill="1" applyBorder="1" applyAlignment="1" applyProtection="1">
      <alignment horizontal="right" vertical="top" wrapText="1" readingOrder="1"/>
    </xf>
    <xf numFmtId="0" fontId="0" fillId="0" borderId="56" xfId="0" applyFill="1" applyBorder="1" applyAlignment="1" applyProtection="1">
      <alignment horizontal="center" vertical="center" wrapText="1"/>
    </xf>
    <xf numFmtId="0" fontId="0" fillId="0" borderId="171" xfId="0" applyFill="1" applyBorder="1" applyAlignment="1" applyProtection="1">
      <alignment horizontal="center" vertical="center" wrapText="1"/>
    </xf>
    <xf numFmtId="0" fontId="0" fillId="0" borderId="163"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0" fontId="0" fillId="0" borderId="172" xfId="0" applyFont="1" applyFill="1" applyBorder="1" applyAlignment="1" applyProtection="1">
      <alignment horizontal="left" vertical="center"/>
    </xf>
    <xf numFmtId="0" fontId="0" fillId="0" borderId="173"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77" fontId="8" fillId="3" borderId="101"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4" xfId="0" applyFill="1" applyBorder="1" applyAlignment="1" applyProtection="1">
      <alignment horizontal="center" vertical="center"/>
    </xf>
    <xf numFmtId="0" fontId="0" fillId="3" borderId="175" xfId="0" applyFill="1" applyBorder="1" applyAlignment="1" applyProtection="1">
      <alignment horizontal="center" vertical="center"/>
    </xf>
    <xf numFmtId="0" fontId="0" fillId="3" borderId="176" xfId="0" applyFill="1" applyBorder="1" applyAlignment="1" applyProtection="1">
      <alignment horizontal="center" vertical="center"/>
    </xf>
    <xf numFmtId="0" fontId="43" fillId="3" borderId="92" xfId="0" applyFont="1" applyFill="1" applyBorder="1" applyAlignment="1" applyProtection="1">
      <alignment horizontal="center" vertical="center" wrapText="1"/>
    </xf>
    <xf numFmtId="0" fontId="43" fillId="3" borderId="93" xfId="0" applyFont="1" applyFill="1" applyBorder="1" applyAlignment="1" applyProtection="1">
      <alignment horizontal="center" vertical="center" wrapText="1"/>
    </xf>
    <xf numFmtId="0" fontId="43" fillId="3" borderId="94" xfId="0" applyFont="1" applyFill="1" applyBorder="1" applyAlignment="1" applyProtection="1">
      <alignment horizontal="center" vertical="center" wrapText="1"/>
    </xf>
    <xf numFmtId="0" fontId="43" fillId="3" borderId="90"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90" fillId="3" borderId="83"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100" xfId="0" applyNumberFormat="1" applyFont="1" applyFill="1" applyBorder="1" applyAlignment="1" applyProtection="1">
      <alignment horizontal="right" vertical="center" indent="1" shrinkToFit="1"/>
    </xf>
    <xf numFmtId="203" fontId="8" fillId="3" borderId="101" xfId="0" applyNumberFormat="1" applyFont="1" applyFill="1" applyBorder="1" applyAlignment="1" applyProtection="1">
      <alignment horizontal="right" vertical="center" indent="1" shrinkToFit="1"/>
    </xf>
    <xf numFmtId="203" fontId="8" fillId="3" borderId="102"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1" fontId="8" fillId="3" borderId="93" xfId="0" applyNumberFormat="1" applyFont="1" applyFill="1" applyBorder="1" applyAlignment="1" applyProtection="1">
      <alignment horizontal="right" vertical="center" indent="1" shrinkToFit="1"/>
    </xf>
    <xf numFmtId="201" fontId="8" fillId="3" borderId="94" xfId="0" applyNumberFormat="1" applyFont="1" applyFill="1" applyBorder="1" applyAlignment="1" applyProtection="1">
      <alignment horizontal="right" vertical="center" indent="1" shrinkToFit="1"/>
    </xf>
    <xf numFmtId="202" fontId="8" fillId="3" borderId="90"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91" xfId="0" applyNumberFormat="1" applyFont="1" applyFill="1" applyBorder="1" applyAlignment="1" applyProtection="1">
      <alignment horizontal="right" vertical="center" indent="1" shrinkToFit="1"/>
    </xf>
    <xf numFmtId="201" fontId="8" fillId="3" borderId="83"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162"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199" fontId="91" fillId="3" borderId="0" xfId="0" applyNumberFormat="1" applyFont="1" applyFill="1" applyBorder="1" applyAlignment="1" applyProtection="1">
      <alignment horizontal="left" vertical="top" shrinkToFit="1"/>
    </xf>
    <xf numFmtId="0" fontId="0" fillId="0" borderId="99" xfId="0" applyFont="1" applyFill="1" applyBorder="1" applyAlignment="1" applyProtection="1">
      <alignment horizontal="center" vertical="center" wrapText="1"/>
    </xf>
    <xf numFmtId="0" fontId="0" fillId="0" borderId="166" xfId="0" applyFont="1" applyFill="1" applyBorder="1" applyAlignment="1" applyProtection="1">
      <alignment horizontal="center" vertical="center" wrapText="1"/>
    </xf>
    <xf numFmtId="0" fontId="0" fillId="0" borderId="99" xfId="0" applyFont="1" applyFill="1" applyBorder="1" applyAlignment="1">
      <alignment horizontal="center" vertical="center" wrapText="1"/>
    </xf>
    <xf numFmtId="0" fontId="0" fillId="0" borderId="166" xfId="0" applyFont="1" applyFill="1" applyBorder="1" applyAlignment="1">
      <alignment horizontal="center" vertical="center" wrapText="1"/>
    </xf>
    <xf numFmtId="193" fontId="0" fillId="0" borderId="99" xfId="0" applyNumberFormat="1" applyFont="1" applyFill="1" applyBorder="1" applyAlignment="1" applyProtection="1">
      <alignment horizontal="center" vertical="center" wrapText="1" shrinkToFit="1"/>
    </xf>
    <xf numFmtId="193" fontId="0" fillId="0" borderId="166" xfId="0" applyNumberFormat="1" applyFont="1" applyFill="1" applyBorder="1" applyAlignment="1" applyProtection="1">
      <alignment horizontal="center" vertical="center" wrapText="1" shrinkToFit="1"/>
    </xf>
    <xf numFmtId="0" fontId="0" fillId="0" borderId="95" xfId="0" applyFont="1" applyFill="1" applyBorder="1" applyAlignment="1" applyProtection="1">
      <alignment horizontal="left" vertical="center" wrapText="1"/>
    </xf>
    <xf numFmtId="0" fontId="0" fillId="0" borderId="96" xfId="0" applyFont="1" applyFill="1" applyBorder="1" applyAlignment="1" applyProtection="1">
      <alignment horizontal="left"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180" fontId="10" fillId="0" borderId="104"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6"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185" fontId="10" fillId="0" borderId="104"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pplyProtection="1">
      <alignment horizontal="center" vertical="center" wrapText="1"/>
    </xf>
    <xf numFmtId="0" fontId="4" fillId="3" borderId="110" xfId="0" applyFont="1" applyFill="1" applyBorder="1" applyAlignment="1" applyProtection="1">
      <alignment horizontal="center" vertical="center" wrapText="1"/>
    </xf>
    <xf numFmtId="0" fontId="4" fillId="3" borderId="111" xfId="0" applyFont="1" applyFill="1" applyBorder="1" applyAlignment="1" applyProtection="1">
      <alignment horizontal="center" vertical="center" wrapTex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3"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5" xfId="0" applyFont="1" applyFill="1" applyBorder="1" applyAlignment="1" applyProtection="1">
      <alignment horizontal="center" vertical="center" wrapText="1"/>
    </xf>
    <xf numFmtId="0" fontId="16" fillId="3" borderId="0" xfId="0" applyFont="1" applyFill="1" applyAlignment="1">
      <alignment horizontal="left"/>
    </xf>
    <xf numFmtId="0" fontId="16" fillId="3" borderId="0" xfId="0" applyFont="1" applyFill="1" applyAlignment="1">
      <alignment horizontal="justify"/>
    </xf>
    <xf numFmtId="0" fontId="0" fillId="3" borderId="0" xfId="0" applyFill="1"/>
    <xf numFmtId="0" fontId="16" fillId="3" borderId="0" xfId="0" applyFont="1" applyFill="1" applyAlignment="1">
      <alignment horizontal="left" wrapText="1"/>
    </xf>
    <xf numFmtId="0" fontId="16" fillId="3" borderId="0" xfId="0" applyFont="1" applyFill="1" applyAlignment="1">
      <alignment horizontal="left"/>
    </xf>
    <xf numFmtId="0" fontId="16" fillId="3" borderId="0" xfId="0" applyFont="1" applyFill="1" applyAlignment="1">
      <alignment horizontal="left" vertical="top"/>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23</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28</xdr:row>
      <xdr:rowOff>353789</xdr:rowOff>
    </xdr:from>
    <xdr:to>
      <xdr:col>29</xdr:col>
      <xdr:colOff>1005323</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4" y="9511396"/>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7</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23</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厚生労働省の定める農業の２０２０年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5" zoomScaleNormal="100" zoomScaleSheetLayoutView="75" workbookViewId="0">
      <selection activeCell="F1" sqref="F1"/>
    </sheetView>
  </sheetViews>
  <sheetFormatPr defaultRowHeight="13.5" x14ac:dyDescent="0.15"/>
  <cols>
    <col min="1" max="4" width="2.125" style="259" customWidth="1"/>
    <col min="5" max="5" width="100.625" style="259" customWidth="1"/>
    <col min="6" max="6" width="9" style="259"/>
    <col min="7" max="7" width="9" style="259" customWidth="1"/>
    <col min="8" max="16384" width="9" style="259"/>
  </cols>
  <sheetData>
    <row r="1" spans="1:7" s="249" customFormat="1" ht="16.5" customHeight="1" x14ac:dyDescent="0.15">
      <c r="A1" s="247"/>
      <c r="B1" s="247"/>
      <c r="C1" s="247"/>
      <c r="D1" s="247"/>
      <c r="E1" s="248" t="s">
        <v>174</v>
      </c>
    </row>
    <row r="2" spans="1:7" s="249" customFormat="1" ht="13.5" customHeight="1" x14ac:dyDescent="0.15">
      <c r="A2" s="556"/>
      <c r="B2" s="247"/>
      <c r="C2" s="247"/>
      <c r="D2" s="247"/>
      <c r="E2" s="247"/>
    </row>
    <row r="3" spans="1:7" s="249" customFormat="1" ht="16.5" customHeight="1" x14ac:dyDescent="0.15">
      <c r="A3" s="250" t="s">
        <v>175</v>
      </c>
      <c r="B3" s="251"/>
      <c r="C3" s="251"/>
      <c r="D3" s="251"/>
      <c r="E3" s="251"/>
    </row>
    <row r="4" spans="1:7" s="249" customFormat="1" ht="13.5" customHeight="1" x14ac:dyDescent="0.15">
      <c r="A4" s="252"/>
      <c r="B4" s="247"/>
      <c r="C4" s="247"/>
      <c r="D4" s="247"/>
      <c r="E4" s="247"/>
    </row>
    <row r="5" spans="1:7" s="255" customFormat="1" ht="18" customHeight="1" x14ac:dyDescent="0.15">
      <c r="A5" s="253" t="s">
        <v>279</v>
      </c>
      <c r="B5" s="254"/>
      <c r="C5" s="254"/>
      <c r="D5" s="254"/>
      <c r="E5" s="254"/>
    </row>
    <row r="6" spans="1:7" s="256" customFormat="1" ht="45" customHeight="1" x14ac:dyDescent="0.15">
      <c r="A6" s="571" t="s">
        <v>305</v>
      </c>
      <c r="B6" s="571"/>
      <c r="C6" s="571"/>
      <c r="D6" s="571"/>
      <c r="E6" s="571"/>
    </row>
    <row r="7" spans="1:7" s="256" customFormat="1" ht="9" customHeight="1" x14ac:dyDescent="0.15">
      <c r="A7" s="571"/>
      <c r="B7" s="571"/>
      <c r="C7" s="571"/>
      <c r="D7" s="571"/>
      <c r="E7" s="571"/>
    </row>
    <row r="8" spans="1:7" s="255" customFormat="1" ht="16.5" customHeight="1" x14ac:dyDescent="0.15">
      <c r="A8" s="253" t="s">
        <v>176</v>
      </c>
      <c r="B8" s="254"/>
      <c r="C8" s="254"/>
      <c r="D8" s="254"/>
      <c r="E8" s="254"/>
    </row>
    <row r="9" spans="1:7" s="249" customFormat="1" ht="78" customHeight="1" x14ac:dyDescent="0.15">
      <c r="A9" s="247"/>
      <c r="B9" s="572" t="s">
        <v>292</v>
      </c>
      <c r="C9" s="572"/>
      <c r="D9" s="572"/>
      <c r="E9" s="572"/>
      <c r="G9" s="511"/>
    </row>
    <row r="10" spans="1:7" s="255" customFormat="1" ht="16.5" customHeight="1" x14ac:dyDescent="0.15">
      <c r="A10" s="257"/>
      <c r="B10" s="253" t="s">
        <v>177</v>
      </c>
      <c r="C10" s="254"/>
      <c r="D10" s="254"/>
      <c r="E10" s="254"/>
    </row>
    <row r="11" spans="1:7" s="249" customFormat="1" ht="105" customHeight="1" x14ac:dyDescent="0.15">
      <c r="A11" s="247"/>
      <c r="B11" s="247"/>
      <c r="C11" s="573" t="s">
        <v>293</v>
      </c>
      <c r="D11" s="570"/>
      <c r="E11" s="570"/>
    </row>
    <row r="12" spans="1:7" s="255" customFormat="1" ht="16.5" customHeight="1" x14ac:dyDescent="0.15">
      <c r="A12" s="257"/>
      <c r="B12" s="253" t="s">
        <v>178</v>
      </c>
      <c r="C12" s="254"/>
      <c r="D12" s="254"/>
      <c r="E12" s="254"/>
    </row>
    <row r="13" spans="1:7" s="249" customFormat="1" ht="45" customHeight="1" x14ac:dyDescent="0.15">
      <c r="A13" s="247"/>
      <c r="B13" s="247"/>
      <c r="C13" s="573" t="s">
        <v>294</v>
      </c>
      <c r="D13" s="570"/>
      <c r="E13" s="570"/>
    </row>
    <row r="14" spans="1:7" s="255" customFormat="1" ht="16.5" customHeight="1" x14ac:dyDescent="0.15">
      <c r="A14" s="257"/>
      <c r="B14" s="253" t="s">
        <v>295</v>
      </c>
      <c r="C14" s="254"/>
      <c r="D14" s="254"/>
      <c r="E14" s="254"/>
    </row>
    <row r="15" spans="1:7" s="249" customFormat="1" ht="30" customHeight="1" x14ac:dyDescent="0.15">
      <c r="A15" s="247"/>
      <c r="B15" s="247"/>
      <c r="C15" s="570" t="s">
        <v>296</v>
      </c>
      <c r="D15" s="570"/>
      <c r="E15" s="570"/>
    </row>
    <row r="16" spans="1:7" s="249" customFormat="1" ht="16.5" customHeight="1" x14ac:dyDescent="0.15">
      <c r="A16" s="247"/>
      <c r="B16" s="247"/>
      <c r="C16" s="247"/>
      <c r="D16" s="570" t="s">
        <v>179</v>
      </c>
      <c r="E16" s="570"/>
    </row>
    <row r="17" spans="1:7" s="249" customFormat="1" ht="16.5" customHeight="1" x14ac:dyDescent="0.15">
      <c r="A17" s="247"/>
      <c r="B17" s="247"/>
      <c r="C17" s="247"/>
      <c r="D17" s="247"/>
      <c r="E17" s="556" t="s">
        <v>180</v>
      </c>
    </row>
    <row r="18" spans="1:7" s="249" customFormat="1" ht="16.5" customHeight="1" x14ac:dyDescent="0.15">
      <c r="A18" s="247"/>
      <c r="B18" s="247"/>
      <c r="C18" s="247"/>
      <c r="D18" s="247"/>
      <c r="E18" s="556" t="s">
        <v>181</v>
      </c>
    </row>
    <row r="19" spans="1:7" s="249" customFormat="1" ht="16.5" customHeight="1" x14ac:dyDescent="0.15">
      <c r="A19" s="247"/>
      <c r="B19" s="247"/>
      <c r="C19" s="247"/>
      <c r="D19" s="570" t="s">
        <v>297</v>
      </c>
      <c r="E19" s="570"/>
    </row>
    <row r="20" spans="1:7" s="249" customFormat="1" ht="16.5" customHeight="1" x14ac:dyDescent="0.15">
      <c r="A20" s="247"/>
      <c r="B20" s="247"/>
      <c r="C20" s="247"/>
      <c r="D20" s="247"/>
      <c r="E20" s="556" t="s">
        <v>182</v>
      </c>
    </row>
    <row r="21" spans="1:7" s="249" customFormat="1" ht="24.75" customHeight="1" x14ac:dyDescent="0.15">
      <c r="A21" s="247"/>
      <c r="B21" s="247"/>
      <c r="C21" s="247"/>
      <c r="D21" s="247"/>
      <c r="E21" s="556" t="s">
        <v>183</v>
      </c>
    </row>
    <row r="22" spans="1:7" s="255" customFormat="1" ht="16.5" customHeight="1" x14ac:dyDescent="0.15">
      <c r="A22" s="257"/>
      <c r="B22" s="253" t="s">
        <v>184</v>
      </c>
      <c r="C22" s="254"/>
      <c r="D22" s="254"/>
      <c r="E22" s="254"/>
    </row>
    <row r="23" spans="1:7" s="249" customFormat="1" ht="16.5" customHeight="1" x14ac:dyDescent="0.15">
      <c r="A23" s="247"/>
      <c r="B23" s="247"/>
      <c r="C23" s="573" t="s">
        <v>298</v>
      </c>
      <c r="D23" s="570"/>
      <c r="E23" s="570"/>
    </row>
    <row r="24" spans="1:7" s="249" customFormat="1" ht="16.5" customHeight="1" x14ac:dyDescent="0.15">
      <c r="A24" s="247"/>
      <c r="B24" s="247"/>
      <c r="C24" s="247"/>
      <c r="D24" s="572" t="s">
        <v>299</v>
      </c>
      <c r="E24" s="572"/>
    </row>
    <row r="25" spans="1:7" s="249" customFormat="1" ht="16.5" customHeight="1" x14ac:dyDescent="0.15">
      <c r="A25" s="247"/>
      <c r="B25" s="247"/>
      <c r="C25" s="247"/>
      <c r="D25" s="512"/>
      <c r="E25" s="557" t="s">
        <v>300</v>
      </c>
    </row>
    <row r="26" spans="1:7" s="249" customFormat="1" ht="16.5" customHeight="1" x14ac:dyDescent="0.15">
      <c r="A26" s="247"/>
      <c r="B26" s="247"/>
      <c r="C26" s="247"/>
      <c r="D26" s="572" t="s">
        <v>301</v>
      </c>
      <c r="E26" s="572"/>
    </row>
    <row r="27" spans="1:7" s="249" customFormat="1" ht="16.5" customHeight="1" x14ac:dyDescent="0.15">
      <c r="A27" s="247"/>
      <c r="B27" s="247"/>
      <c r="C27" s="247"/>
      <c r="D27" s="247"/>
      <c r="E27" s="557" t="s">
        <v>302</v>
      </c>
    </row>
    <row r="28" spans="1:7" s="249" customFormat="1" ht="5.25" customHeight="1" x14ac:dyDescent="0.15">
      <c r="A28" s="556" t="s">
        <v>185</v>
      </c>
      <c r="B28" s="247"/>
      <c r="C28" s="247"/>
      <c r="D28" s="247"/>
      <c r="E28" s="247"/>
    </row>
    <row r="29" spans="1:7" s="255" customFormat="1" ht="16.5" customHeight="1" x14ac:dyDescent="0.15">
      <c r="A29" s="253" t="s">
        <v>186</v>
      </c>
      <c r="B29" s="254"/>
      <c r="C29" s="254"/>
      <c r="D29" s="254"/>
      <c r="E29" s="254"/>
    </row>
    <row r="30" spans="1:7" s="249" customFormat="1" ht="105.75" customHeight="1" x14ac:dyDescent="0.15">
      <c r="A30" s="247"/>
      <c r="B30" s="573" t="s">
        <v>303</v>
      </c>
      <c r="C30" s="570"/>
      <c r="D30" s="570"/>
      <c r="E30" s="570"/>
      <c r="G30" s="511"/>
    </row>
    <row r="31" spans="1:7" s="255" customFormat="1" ht="16.5" customHeight="1" x14ac:dyDescent="0.15">
      <c r="A31" s="253" t="s">
        <v>187</v>
      </c>
      <c r="B31" s="254"/>
      <c r="C31" s="254"/>
      <c r="D31" s="254"/>
      <c r="E31" s="254"/>
    </row>
    <row r="32" spans="1:7" s="249" customFormat="1" ht="60" customHeight="1" x14ac:dyDescent="0.15">
      <c r="A32" s="247"/>
      <c r="B32" s="574" t="s">
        <v>306</v>
      </c>
      <c r="C32" s="572"/>
      <c r="D32" s="572"/>
      <c r="E32" s="572"/>
    </row>
    <row r="33" spans="1:5" s="255" customFormat="1" ht="16.5" customHeight="1" x14ac:dyDescent="0.15">
      <c r="A33" s="253" t="s">
        <v>280</v>
      </c>
      <c r="B33" s="254"/>
      <c r="C33" s="254"/>
      <c r="D33" s="254"/>
      <c r="E33" s="254"/>
    </row>
    <row r="34" spans="1:5" s="249" customFormat="1" ht="115.5" customHeight="1" x14ac:dyDescent="0.15">
      <c r="A34" s="247"/>
      <c r="B34" s="574" t="s">
        <v>308</v>
      </c>
      <c r="C34" s="572"/>
      <c r="D34" s="572"/>
      <c r="E34" s="572"/>
    </row>
    <row r="35" spans="1:5" s="249" customFormat="1" ht="14.25" x14ac:dyDescent="0.15">
      <c r="A35" s="247"/>
      <c r="B35" s="558"/>
      <c r="C35" s="557"/>
      <c r="D35" s="557"/>
      <c r="E35" s="557"/>
    </row>
    <row r="36" spans="1:5" s="255" customFormat="1" ht="16.5" customHeight="1" x14ac:dyDescent="0.15">
      <c r="A36" s="253" t="s">
        <v>188</v>
      </c>
      <c r="B36" s="254"/>
      <c r="C36" s="254"/>
      <c r="D36" s="254"/>
      <c r="E36" s="254"/>
    </row>
    <row r="37" spans="1:5" s="249" customFormat="1" ht="16.5" customHeight="1" x14ac:dyDescent="0.15">
      <c r="A37" s="247"/>
      <c r="B37" s="570" t="s">
        <v>189</v>
      </c>
      <c r="C37" s="570"/>
      <c r="D37" s="570"/>
      <c r="E37" s="570"/>
    </row>
    <row r="38" spans="1:5" s="249" customFormat="1" ht="16.5" customHeight="1" x14ac:dyDescent="0.15">
      <c r="A38" s="247"/>
      <c r="B38" s="247"/>
      <c r="C38" s="570" t="s">
        <v>304</v>
      </c>
      <c r="D38" s="570"/>
      <c r="E38" s="570"/>
    </row>
    <row r="39" spans="1:5" s="249" customFormat="1" ht="45" customHeight="1" x14ac:dyDescent="0.15">
      <c r="A39" s="247"/>
      <c r="B39" s="247"/>
      <c r="C39" s="573" t="s">
        <v>309</v>
      </c>
      <c r="D39" s="570"/>
      <c r="E39" s="570"/>
    </row>
    <row r="40" spans="1:5" s="249" customFormat="1" ht="13.5" customHeight="1" x14ac:dyDescent="0.15">
      <c r="A40" s="556"/>
      <c r="B40" s="247"/>
      <c r="C40" s="247"/>
      <c r="D40" s="247"/>
      <c r="E40" s="247"/>
    </row>
    <row r="41" spans="1:5" s="255" customFormat="1" ht="16.5" customHeight="1" x14ac:dyDescent="0.15">
      <c r="A41" s="253" t="s">
        <v>190</v>
      </c>
      <c r="B41" s="254"/>
      <c r="C41" s="254"/>
      <c r="D41" s="254"/>
      <c r="E41" s="254"/>
    </row>
    <row r="42" spans="1:5" s="249" customFormat="1" ht="50.25" customHeight="1" x14ac:dyDescent="0.15">
      <c r="A42" s="247"/>
      <c r="B42" s="574" t="s">
        <v>307</v>
      </c>
      <c r="C42" s="572"/>
      <c r="D42" s="572"/>
      <c r="E42" s="572"/>
    </row>
    <row r="43" spans="1:5" ht="14.25" x14ac:dyDescent="0.15">
      <c r="A43" s="258"/>
    </row>
    <row r="44" spans="1:5" ht="14.25" x14ac:dyDescent="0.15">
      <c r="A44" s="258"/>
    </row>
    <row r="45" spans="1:5" ht="14.25" x14ac:dyDescent="0.15">
      <c r="A45" s="258"/>
    </row>
    <row r="46" spans="1:5" x14ac:dyDescent="0.15">
      <c r="A46" s="259" t="s">
        <v>191</v>
      </c>
    </row>
  </sheetData>
  <sheetProtection password="ECA8" sheet="1" objects="1" scenarios="1" selectLockedCells="1" selectUnlockedCells="1"/>
  <mergeCells count="18">
    <mergeCell ref="B42:E42"/>
    <mergeCell ref="D16:E16"/>
    <mergeCell ref="D19:E19"/>
    <mergeCell ref="C23:E23"/>
    <mergeCell ref="D24:E24"/>
    <mergeCell ref="D26:E26"/>
    <mergeCell ref="B30:E30"/>
    <mergeCell ref="B32:E32"/>
    <mergeCell ref="B34:E34"/>
    <mergeCell ref="B37:E37"/>
    <mergeCell ref="C38:E38"/>
    <mergeCell ref="C39:E39"/>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c r="A1" s="149"/>
    </row>
    <row r="2" spans="1:20" ht="19.5" customHeight="1" x14ac:dyDescent="0.2">
      <c r="A2" s="81"/>
      <c r="B2" s="81"/>
      <c r="C2" s="81"/>
      <c r="D2" s="81"/>
      <c r="E2" s="81"/>
      <c r="F2" s="82" t="str">
        <f>'10号'!L3</f>
        <v>〈令和２年度第１回〉</v>
      </c>
      <c r="I2" s="244"/>
      <c r="J2" s="244"/>
      <c r="O2" s="606"/>
      <c r="P2" s="606"/>
      <c r="Q2" s="606"/>
      <c r="R2" s="606"/>
    </row>
    <row r="3" spans="1:20" ht="30" customHeight="1" x14ac:dyDescent="0.2">
      <c r="A3" s="83" t="s">
        <v>135</v>
      </c>
      <c r="B3" s="81"/>
      <c r="C3" s="81"/>
      <c r="D3" s="81"/>
      <c r="E3" s="81"/>
      <c r="F3" s="84"/>
      <c r="I3" s="193"/>
      <c r="J3" s="193"/>
      <c r="K3" s="193"/>
      <c r="O3" s="225"/>
      <c r="P3" s="226"/>
      <c r="Q3" s="226"/>
      <c r="R3" s="226"/>
    </row>
    <row r="4" spans="1:20" ht="23.25" customHeight="1" x14ac:dyDescent="0.2">
      <c r="A4" s="85" t="str">
        <f>"（３）旅費 （ 第 "&amp;'10号'!$J$4&amp;" 回）"</f>
        <v>（３）旅費 （ 第  回）</v>
      </c>
      <c r="B4" s="86"/>
      <c r="C4" s="86"/>
      <c r="D4" s="87"/>
      <c r="E4" s="87"/>
      <c r="F4" s="88"/>
      <c r="K4" s="20"/>
      <c r="L4" s="20"/>
    </row>
    <row r="5" spans="1:20" ht="7.5" customHeight="1" x14ac:dyDescent="0.15">
      <c r="A5" s="89"/>
      <c r="B5" s="89"/>
      <c r="C5" s="89"/>
      <c r="D5" s="81"/>
      <c r="E5" s="81"/>
      <c r="F5" s="90"/>
      <c r="O5" s="226"/>
      <c r="P5" s="226"/>
      <c r="Q5" s="226"/>
      <c r="R5" s="226"/>
    </row>
    <row r="6" spans="1:20" ht="23.25" customHeight="1" x14ac:dyDescent="0.2">
      <c r="A6" s="91" t="s">
        <v>17</v>
      </c>
      <c r="B6" s="92"/>
      <c r="C6" s="865" t="str">
        <f>IF('10号'!$G$10="","",'10号'!$G$10)</f>
        <v/>
      </c>
      <c r="D6" s="865"/>
      <c r="E6" s="865"/>
      <c r="F6" s="865"/>
      <c r="H6" s="18"/>
      <c r="J6" s="18"/>
      <c r="O6" s="225"/>
      <c r="P6" s="226"/>
      <c r="Q6" s="226"/>
      <c r="R6" s="226"/>
    </row>
    <row r="7" spans="1:20" ht="23.25" customHeight="1" x14ac:dyDescent="0.2">
      <c r="A7" s="91" t="s">
        <v>19</v>
      </c>
      <c r="B7" s="92"/>
      <c r="C7" s="865" t="str">
        <f>IF('10号'!$E$18="","",'10号'!$E$18)</f>
        <v/>
      </c>
      <c r="D7" s="865"/>
      <c r="E7" s="865"/>
      <c r="F7" s="865"/>
      <c r="H7" s="18"/>
      <c r="J7" s="18"/>
      <c r="O7" s="225"/>
      <c r="P7" s="226"/>
      <c r="Q7" s="226"/>
      <c r="R7" s="226"/>
    </row>
    <row r="8" spans="1:20" s="15" customFormat="1" ht="23.25" customHeight="1" x14ac:dyDescent="0.2">
      <c r="A8" s="91"/>
      <c r="B8" s="93"/>
      <c r="C8" s="93"/>
      <c r="D8" s="93"/>
      <c r="E8" s="93"/>
      <c r="F8" s="93"/>
    </row>
    <row r="9" spans="1:20" s="15" customFormat="1" ht="14.25" customHeight="1" thickBot="1" x14ac:dyDescent="0.2">
      <c r="A9" s="94"/>
      <c r="B9" s="94"/>
      <c r="C9" s="94"/>
      <c r="D9" s="94"/>
      <c r="E9" s="94"/>
      <c r="F9" s="94"/>
    </row>
    <row r="10" spans="1:20" s="15" customFormat="1" ht="33" customHeight="1" x14ac:dyDescent="0.2">
      <c r="A10" s="142" t="s">
        <v>0</v>
      </c>
      <c r="B10" s="882" t="s">
        <v>51</v>
      </c>
      <c r="C10" s="889"/>
      <c r="D10" s="883"/>
      <c r="E10" s="145" t="s">
        <v>13</v>
      </c>
      <c r="F10" s="144" t="s">
        <v>7</v>
      </c>
      <c r="G10" s="14"/>
      <c r="H10" s="14"/>
      <c r="I10" s="14"/>
      <c r="J10" s="14"/>
      <c r="K10" s="14"/>
      <c r="L10" s="880" t="str">
        <f>'10号'!$E$6</f>
        <v/>
      </c>
      <c r="M10" s="880"/>
      <c r="N10" s="24" t="s">
        <v>18</v>
      </c>
      <c r="O10" s="880" t="str">
        <f>'10号'!G6</f>
        <v/>
      </c>
      <c r="P10" s="880"/>
    </row>
    <row r="11" spans="1:20" s="15" customFormat="1" ht="70.5" customHeight="1" x14ac:dyDescent="0.15">
      <c r="A11" s="507"/>
      <c r="B11" s="886"/>
      <c r="C11" s="887"/>
      <c r="D11" s="888"/>
      <c r="E11" s="498"/>
      <c r="F11" s="496"/>
      <c r="G11" s="12"/>
      <c r="H11" s="12"/>
      <c r="I11" s="12"/>
      <c r="J11" s="12"/>
      <c r="K11" s="12"/>
      <c r="L11" s="74" t="s">
        <v>145</v>
      </c>
      <c r="M11" s="73" t="str">
        <f>'10号'!$U$25</f>
        <v/>
      </c>
      <c r="N11" s="73" t="str">
        <f>'10号'!$V$25</f>
        <v/>
      </c>
      <c r="O11" s="74">
        <f>SUMPRODUCT(($A$11:$A$18&gt;=$M11)*($A$11:$A$18&lt;=$N11)*$F$11:$F$18)</f>
        <v>0</v>
      </c>
      <c r="P11" s="74"/>
    </row>
    <row r="12" spans="1:20" ht="70.5" customHeight="1" x14ac:dyDescent="0.15">
      <c r="A12" s="507"/>
      <c r="B12" s="886"/>
      <c r="C12" s="887"/>
      <c r="D12" s="888"/>
      <c r="E12" s="498"/>
      <c r="F12" s="496"/>
      <c r="L12" s="74" t="s">
        <v>146</v>
      </c>
      <c r="M12" s="73" t="str">
        <f>'10号'!$U$26</f>
        <v/>
      </c>
      <c r="N12" s="73" t="str">
        <f>'10号'!$V$26</f>
        <v/>
      </c>
      <c r="O12" s="74">
        <f>SUMPRODUCT(($A$11:$A$18&gt;=$M12)*($A$11:$A$18&lt;=$N12)*$F$11:$F$18)</f>
        <v>0</v>
      </c>
      <c r="P12" s="74"/>
      <c r="Q12" s="15"/>
      <c r="R12" s="15"/>
      <c r="S12" s="15"/>
      <c r="T12" s="15"/>
    </row>
    <row r="13" spans="1:20" ht="70.5" customHeight="1" x14ac:dyDescent="0.15">
      <c r="A13" s="507"/>
      <c r="B13" s="886"/>
      <c r="C13" s="887"/>
      <c r="D13" s="888"/>
      <c r="E13" s="498"/>
      <c r="F13" s="496"/>
      <c r="L13" s="74" t="s">
        <v>147</v>
      </c>
      <c r="M13" s="73" t="str">
        <f>'10号'!$U$27</f>
        <v/>
      </c>
      <c r="N13" s="73" t="str">
        <f>'10号'!$V$27</f>
        <v/>
      </c>
      <c r="O13" s="74">
        <f>SUMPRODUCT(($A$11:$A$18&gt;=$M13)*($A$11:$A$18&lt;=$N13)*$F$11:$F$18)</f>
        <v>0</v>
      </c>
      <c r="P13" s="74"/>
      <c r="Q13" s="15"/>
      <c r="R13" s="15"/>
      <c r="S13" s="15"/>
      <c r="T13" s="15"/>
    </row>
    <row r="14" spans="1:20" ht="70.5" customHeight="1" x14ac:dyDescent="0.15">
      <c r="A14" s="507"/>
      <c r="B14" s="886"/>
      <c r="C14" s="887"/>
      <c r="D14" s="888"/>
      <c r="E14" s="498"/>
      <c r="F14" s="496"/>
      <c r="L14" s="74" t="s">
        <v>148</v>
      </c>
      <c r="M14" s="73" t="str">
        <f>'10号'!$U28</f>
        <v/>
      </c>
      <c r="N14" s="73" t="str">
        <f>'10号'!$V28</f>
        <v/>
      </c>
      <c r="O14" s="74">
        <f>SUMPRODUCT(($A$11:$A$18&gt;=$M14)*($A$11:$A$18&lt;=$N14)*$F$11:$F$18)</f>
        <v>0</v>
      </c>
      <c r="P14" s="74">
        <f>SUM(O11:O14)</f>
        <v>0</v>
      </c>
      <c r="Q14" s="15"/>
      <c r="R14" s="15"/>
      <c r="S14" s="15"/>
      <c r="T14" s="15"/>
    </row>
    <row r="15" spans="1:20" ht="70.5" customHeight="1" x14ac:dyDescent="0.15">
      <c r="A15" s="507"/>
      <c r="B15" s="886"/>
      <c r="C15" s="887"/>
      <c r="D15" s="888"/>
      <c r="E15" s="498"/>
      <c r="F15" s="496"/>
      <c r="L15" s="74" t="s">
        <v>157</v>
      </c>
      <c r="M15" s="73" t="str">
        <f>'10号'!$U29</f>
        <v/>
      </c>
      <c r="N15" s="73" t="str">
        <f>'10号'!$V29</f>
        <v/>
      </c>
      <c r="O15" s="74">
        <f t="shared" ref="O15:O22" si="0">SUMPRODUCT(($A$11:$A$22&gt;=$M15)*($A$11:$A$22&lt;=$N15)*$F$11:$F$22)</f>
        <v>0</v>
      </c>
      <c r="Q15" s="15"/>
      <c r="R15" s="15"/>
      <c r="S15" s="15"/>
      <c r="T15" s="15"/>
    </row>
    <row r="16" spans="1:20" ht="70.5" customHeight="1" x14ac:dyDescent="0.15">
      <c r="A16" s="507"/>
      <c r="B16" s="886"/>
      <c r="C16" s="887"/>
      <c r="D16" s="888"/>
      <c r="E16" s="498"/>
      <c r="F16" s="496"/>
      <c r="J16" s="14"/>
      <c r="K16" s="14"/>
      <c r="L16" s="74" t="s">
        <v>158</v>
      </c>
      <c r="M16" s="73" t="str">
        <f>'10号'!$U30</f>
        <v/>
      </c>
      <c r="N16" s="73" t="str">
        <f>'10号'!$V30</f>
        <v/>
      </c>
      <c r="O16" s="74">
        <f t="shared" si="0"/>
        <v>0</v>
      </c>
      <c r="Q16" s="15"/>
    </row>
    <row r="17" spans="1:17" ht="70.5" customHeight="1" x14ac:dyDescent="0.15">
      <c r="A17" s="507"/>
      <c r="B17" s="886"/>
      <c r="C17" s="887"/>
      <c r="D17" s="888"/>
      <c r="E17" s="498"/>
      <c r="F17" s="496"/>
      <c r="L17" s="74" t="s">
        <v>159</v>
      </c>
      <c r="M17" s="73" t="str">
        <f>'10号'!$U31</f>
        <v/>
      </c>
      <c r="N17" s="73" t="str">
        <f>'10号'!$V31</f>
        <v/>
      </c>
      <c r="O17" s="74">
        <f t="shared" si="0"/>
        <v>0</v>
      </c>
      <c r="Q17" s="15"/>
    </row>
    <row r="18" spans="1:17" ht="70.5" customHeight="1" x14ac:dyDescent="0.15">
      <c r="A18" s="507"/>
      <c r="B18" s="886"/>
      <c r="C18" s="887"/>
      <c r="D18" s="888"/>
      <c r="E18" s="498"/>
      <c r="F18" s="496"/>
      <c r="I18" s="15"/>
      <c r="L18" s="74" t="s">
        <v>160</v>
      </c>
      <c r="M18" s="73" t="str">
        <f>'10号'!$U32</f>
        <v/>
      </c>
      <c r="N18" s="73" t="str">
        <f>'10号'!$V32</f>
        <v/>
      </c>
      <c r="O18" s="74">
        <f t="shared" si="0"/>
        <v>0</v>
      </c>
      <c r="Q18" s="15"/>
    </row>
    <row r="19" spans="1:17" s="17" customFormat="1" ht="48" customHeight="1" thickBot="1" x14ac:dyDescent="0.2">
      <c r="A19" s="868" t="s">
        <v>3</v>
      </c>
      <c r="B19" s="869"/>
      <c r="C19" s="869"/>
      <c r="D19" s="869"/>
      <c r="E19" s="870"/>
      <c r="F19" s="67">
        <f>SUMPRODUCT(($A$11:$A$18&gt;=$L$10)*($A$11:$A$18&lt;=$O$10)*F11:F18)</f>
        <v>0</v>
      </c>
      <c r="G19" s="15"/>
      <c r="H19" s="15"/>
      <c r="I19" s="12"/>
      <c r="J19" s="12"/>
      <c r="K19" s="12"/>
      <c r="L19" s="74" t="s">
        <v>161</v>
      </c>
      <c r="M19" s="73" t="str">
        <f>'10号'!$U33</f>
        <v/>
      </c>
      <c r="N19" s="73" t="str">
        <f>'10号'!$V33</f>
        <v/>
      </c>
      <c r="O19" s="74">
        <f t="shared" si="0"/>
        <v>0</v>
      </c>
      <c r="P19" s="12"/>
      <c r="Q19" s="12"/>
    </row>
    <row r="20" spans="1:17" x14ac:dyDescent="0.15">
      <c r="A20" s="23"/>
      <c r="L20" s="74" t="s">
        <v>162</v>
      </c>
      <c r="M20" s="73" t="str">
        <f>'10号'!$U34</f>
        <v/>
      </c>
      <c r="N20" s="73" t="str">
        <f>'10号'!$V34</f>
        <v/>
      </c>
      <c r="O20" s="74">
        <f t="shared" si="0"/>
        <v>0</v>
      </c>
    </row>
    <row r="21" spans="1:17" x14ac:dyDescent="0.15">
      <c r="A21" s="23"/>
      <c r="L21" s="74" t="s">
        <v>163</v>
      </c>
      <c r="M21" s="73" t="str">
        <f>'10号'!$U35</f>
        <v/>
      </c>
      <c r="N21" s="73" t="str">
        <f>'10号'!$V35</f>
        <v/>
      </c>
      <c r="O21" s="74">
        <f t="shared" si="0"/>
        <v>0</v>
      </c>
      <c r="P21" s="74">
        <f>SUM(O11:O21)</f>
        <v>0</v>
      </c>
    </row>
    <row r="22" spans="1:17" x14ac:dyDescent="0.15">
      <c r="L22" s="74" t="s">
        <v>164</v>
      </c>
      <c r="M22" s="73" t="str">
        <f>'10号'!$U36</f>
        <v/>
      </c>
      <c r="N22" s="73" t="str">
        <f>'10号'!$V36</f>
        <v/>
      </c>
      <c r="O22" s="74">
        <f t="shared" si="0"/>
        <v>0</v>
      </c>
      <c r="P22" s="74">
        <f>SUM(O11:O22)</f>
        <v>0</v>
      </c>
    </row>
    <row r="23" spans="1:17" x14ac:dyDescent="0.15">
      <c r="L23" s="74"/>
    </row>
    <row r="25" spans="1:17" x14ac:dyDescent="0.15">
      <c r="J25" s="15"/>
      <c r="K25" s="15"/>
      <c r="L25" s="15"/>
      <c r="M25" s="15"/>
      <c r="N25" s="17"/>
      <c r="O25" s="17"/>
      <c r="P25" s="17"/>
    </row>
    <row r="26" spans="1:17" x14ac:dyDescent="0.15">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F24" sqref="F24"/>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c r="A1" s="149"/>
    </row>
    <row r="2" spans="1:24" ht="21.75" customHeight="1" x14ac:dyDescent="0.2">
      <c r="A2" s="81"/>
      <c r="B2" s="81"/>
      <c r="C2" s="81"/>
      <c r="D2" s="81"/>
      <c r="E2" s="81"/>
      <c r="F2" s="81"/>
      <c r="G2" s="81"/>
      <c r="H2" s="81"/>
      <c r="I2" s="150" t="str">
        <f>'10号'!L3</f>
        <v>〈令和２年度第１回〉</v>
      </c>
      <c r="J2" s="152"/>
      <c r="K2" s="890"/>
      <c r="L2" s="890"/>
      <c r="M2" s="890"/>
      <c r="O2" s="18"/>
      <c r="Q2" s="74" t="str">
        <f>CONCATENATE("厚生労働省の定める農業の",DBCS(LEFT(N10,5)),CHAR(10),"保険料率を表示しています。",CHAR(10),
"　　　雇用保険料率　 ",DBCS(M13)," / １，０００",CHAR(10),
"　　　労災保険料率　",DBCS(M17)," / １，０００")</f>
        <v>厚生労働省の定める農業の２０２０年
保険料率を表示しています。
　　　雇用保険料率　 ７ / １，０００
　　　労災保険料率　１３ / １，０００</v>
      </c>
    </row>
    <row r="3" spans="1:24" ht="27.75" customHeight="1" x14ac:dyDescent="0.2">
      <c r="A3" s="83" t="s">
        <v>136</v>
      </c>
      <c r="B3" s="81"/>
      <c r="C3" s="81"/>
      <c r="D3" s="81"/>
      <c r="E3" s="81"/>
      <c r="F3" s="81"/>
      <c r="G3" s="81"/>
      <c r="H3" s="81"/>
      <c r="I3" s="151"/>
      <c r="J3" s="153"/>
      <c r="K3" s="891"/>
      <c r="L3" s="891"/>
      <c r="M3" s="891"/>
      <c r="O3" s="18"/>
    </row>
    <row r="4" spans="1:24" s="15" customFormat="1" ht="27.75" customHeight="1" x14ac:dyDescent="0.2">
      <c r="A4" s="85" t="str">
        <f>"（４）労災保険料、雇用保険料 （ 第 "&amp;'10号'!$J$4&amp;" 回 ）"</f>
        <v>（４）労災保険料、雇用保険料 （ 第  回 ）</v>
      </c>
      <c r="B4" s="86"/>
      <c r="C4" s="86"/>
      <c r="D4" s="86"/>
      <c r="E4" s="87"/>
      <c r="F4" s="87"/>
      <c r="G4" s="87"/>
      <c r="H4" s="87"/>
      <c r="I4" s="88"/>
      <c r="K4" s="489"/>
      <c r="L4" s="489"/>
      <c r="M4" s="489"/>
      <c r="N4" s="11"/>
      <c r="O4" s="18"/>
      <c r="P4" s="12"/>
    </row>
    <row r="5" spans="1:24" ht="6.75" customHeight="1" x14ac:dyDescent="0.2">
      <c r="A5" s="89"/>
      <c r="B5" s="89"/>
      <c r="C5" s="89"/>
      <c r="D5" s="89"/>
      <c r="E5" s="81"/>
      <c r="F5" s="81"/>
      <c r="G5" s="81"/>
      <c r="H5" s="81"/>
      <c r="I5" s="90"/>
      <c r="J5" s="21"/>
      <c r="K5" s="489"/>
      <c r="L5" s="489"/>
      <c r="M5" s="489"/>
      <c r="O5" s="18"/>
    </row>
    <row r="6" spans="1:24" ht="27.75" customHeight="1" x14ac:dyDescent="0.2">
      <c r="A6" s="91" t="s">
        <v>17</v>
      </c>
      <c r="B6" s="92"/>
      <c r="C6" s="92"/>
      <c r="D6" s="865" t="str">
        <f>IF('10号'!$G$10="","",'10号'!$G$10)</f>
        <v/>
      </c>
      <c r="E6" s="865"/>
      <c r="F6" s="865"/>
      <c r="G6" s="865"/>
      <c r="H6" s="865"/>
      <c r="I6" s="865"/>
      <c r="J6" s="22"/>
      <c r="K6" s="489"/>
      <c r="L6" s="489"/>
      <c r="M6" s="489"/>
      <c r="O6" s="18"/>
      <c r="Q6" s="15"/>
      <c r="R6" s="18"/>
      <c r="S6" s="18"/>
    </row>
    <row r="7" spans="1:24" ht="27.75" customHeight="1" x14ac:dyDescent="0.2">
      <c r="A7" s="91" t="s">
        <v>19</v>
      </c>
      <c r="B7" s="92"/>
      <c r="C7" s="92"/>
      <c r="D7" s="865" t="str">
        <f>IF('10号'!$E$18="","",'10号'!$E$18)</f>
        <v/>
      </c>
      <c r="E7" s="865"/>
      <c r="F7" s="865"/>
      <c r="G7" s="865"/>
      <c r="H7" s="865"/>
      <c r="I7" s="865"/>
      <c r="K7" s="489"/>
      <c r="L7" s="489"/>
      <c r="M7" s="489"/>
      <c r="O7" s="18"/>
      <c r="Q7" s="14"/>
      <c r="S7" s="880"/>
      <c r="T7" s="880"/>
      <c r="U7" s="24"/>
      <c r="V7" s="907"/>
      <c r="W7" s="907"/>
      <c r="X7" s="907"/>
    </row>
    <row r="8" spans="1:24" s="15" customFormat="1" ht="14.25" customHeight="1" x14ac:dyDescent="0.2">
      <c r="A8" s="91"/>
      <c r="B8" s="93"/>
      <c r="C8" s="93"/>
      <c r="D8" s="93"/>
      <c r="E8" s="93"/>
      <c r="F8" s="93"/>
      <c r="G8" s="93"/>
      <c r="H8" s="93"/>
      <c r="I8" s="93"/>
      <c r="J8" s="34"/>
      <c r="K8" s="489"/>
      <c r="L8" s="489"/>
      <c r="M8" s="489"/>
      <c r="N8" s="11"/>
      <c r="O8" s="18"/>
      <c r="P8" s="12"/>
      <c r="Q8" s="12"/>
    </row>
    <row r="9" spans="1:24" s="15" customFormat="1" ht="23.25" customHeight="1" thickBot="1" x14ac:dyDescent="0.25">
      <c r="A9" s="94"/>
      <c r="B9" s="94"/>
      <c r="C9" s="94"/>
      <c r="D9" s="94"/>
      <c r="E9" s="94"/>
      <c r="F9" s="94"/>
      <c r="G9" s="94"/>
      <c r="H9" s="94"/>
      <c r="I9" s="95" t="s">
        <v>53</v>
      </c>
      <c r="J9" s="35"/>
      <c r="K9" s="12"/>
      <c r="L9" s="27" t="s">
        <v>102</v>
      </c>
      <c r="M9" s="28" t="s">
        <v>113</v>
      </c>
      <c r="N9" s="12"/>
      <c r="O9" s="18"/>
      <c r="Q9" s="12"/>
      <c r="R9" s="14"/>
      <c r="S9" s="14"/>
      <c r="U9" s="14"/>
      <c r="V9" s="14"/>
      <c r="X9" s="37"/>
    </row>
    <row r="10" spans="1:24" s="15" customFormat="1" ht="33.75" customHeight="1" x14ac:dyDescent="0.2">
      <c r="A10" s="895" t="s">
        <v>10</v>
      </c>
      <c r="B10" s="910" t="s">
        <v>14</v>
      </c>
      <c r="C10" s="911"/>
      <c r="D10" s="911"/>
      <c r="E10" s="911"/>
      <c r="F10" s="911"/>
      <c r="G10" s="911"/>
      <c r="H10" s="912"/>
      <c r="I10" s="908" t="s">
        <v>7</v>
      </c>
      <c r="J10" s="35"/>
      <c r="L10" s="29" t="s">
        <v>114</v>
      </c>
      <c r="M10" s="7"/>
      <c r="N10" s="526" t="str">
        <f>YEAR(EDATE('10号'!$U$10,-3))&amp;"年度（2017年4月1日より改定）"</f>
        <v>2020年度（2017年4月1日より改定）</v>
      </c>
      <c r="O10" s="12"/>
      <c r="Q10" s="12"/>
      <c r="R10" s="14"/>
      <c r="S10" s="14"/>
      <c r="U10" s="14"/>
      <c r="V10" s="14"/>
      <c r="X10" s="14"/>
    </row>
    <row r="11" spans="1:24" ht="41.25" customHeight="1" x14ac:dyDescent="0.2">
      <c r="A11" s="896"/>
      <c r="B11" s="96"/>
      <c r="C11" s="97"/>
      <c r="D11" s="98" t="s">
        <v>23</v>
      </c>
      <c r="E11" s="99"/>
      <c r="F11" s="99" t="s">
        <v>112</v>
      </c>
      <c r="G11" s="98"/>
      <c r="H11" s="100"/>
      <c r="I11" s="909"/>
      <c r="J11" s="39"/>
      <c r="K11" s="18"/>
      <c r="M11" s="30" t="s">
        <v>218</v>
      </c>
      <c r="N11" s="31" t="s">
        <v>54</v>
      </c>
      <c r="O11" s="15"/>
      <c r="P11" s="14"/>
      <c r="X11" s="42"/>
    </row>
    <row r="12" spans="1:24" ht="36" customHeight="1" x14ac:dyDescent="0.2">
      <c r="A12" s="901" t="str">
        <f>IF(①!$AG$3="","",①!$AG$3)</f>
        <v/>
      </c>
      <c r="B12" s="899" t="s">
        <v>22</v>
      </c>
      <c r="C12" s="900"/>
      <c r="D12" s="568"/>
      <c r="E12" s="43" t="s">
        <v>24</v>
      </c>
      <c r="F12" s="543"/>
      <c r="G12" s="44" t="s">
        <v>26</v>
      </c>
      <c r="H12" s="45">
        <v>1000</v>
      </c>
      <c r="I12" s="68">
        <f>IF(ISERROR(ROUND(D12*F12/H12-0.1,0)),"",ROUND(D12*F12/H12-0.1,0))</f>
        <v>0</v>
      </c>
      <c r="J12" s="39"/>
      <c r="K12" s="18"/>
      <c r="M12" s="32">
        <v>6</v>
      </c>
      <c r="N12" s="75" t="s">
        <v>151</v>
      </c>
      <c r="O12" s="15"/>
      <c r="X12" s="42"/>
    </row>
    <row r="13" spans="1:24" ht="36" customHeight="1" x14ac:dyDescent="0.15">
      <c r="A13" s="902"/>
      <c r="B13" s="897" t="s">
        <v>21</v>
      </c>
      <c r="C13" s="898"/>
      <c r="D13" s="550" t="str">
        <f>IF(D12="","",D12)</f>
        <v/>
      </c>
      <c r="E13" s="48" t="s">
        <v>24</v>
      </c>
      <c r="F13" s="544"/>
      <c r="G13" s="49" t="s">
        <v>25</v>
      </c>
      <c r="H13" s="50">
        <v>1000</v>
      </c>
      <c r="I13" s="69" t="str">
        <f>IF(ISERROR(ROUND(D13*F13/H13-0.1,0)),"",ROUND(D13*F13/H13-0.1,0))</f>
        <v/>
      </c>
      <c r="J13" s="39"/>
      <c r="K13" s="15"/>
      <c r="M13" s="293">
        <v>7</v>
      </c>
      <c r="N13" s="294" t="s">
        <v>100</v>
      </c>
      <c r="O13" s="14"/>
    </row>
    <row r="14" spans="1:24" ht="36" customHeight="1" x14ac:dyDescent="0.15">
      <c r="A14" s="903"/>
      <c r="B14" s="904" t="s">
        <v>31</v>
      </c>
      <c r="C14" s="905"/>
      <c r="D14" s="905"/>
      <c r="E14" s="905"/>
      <c r="F14" s="905"/>
      <c r="G14" s="905"/>
      <c r="H14" s="906"/>
      <c r="I14" s="70">
        <f>SUM(I12:I13)</f>
        <v>0</v>
      </c>
      <c r="J14" s="39"/>
      <c r="K14" s="14"/>
      <c r="M14" s="32">
        <v>8</v>
      </c>
      <c r="N14" s="33" t="s">
        <v>101</v>
      </c>
      <c r="V14" s="51"/>
      <c r="X14" s="42"/>
    </row>
    <row r="15" spans="1:24" ht="36" customHeight="1" x14ac:dyDescent="0.2">
      <c r="A15" s="892" t="str">
        <f>IF('10号'!U26="","",MONTH('10号'!U26))</f>
        <v/>
      </c>
      <c r="B15" s="899" t="s">
        <v>22</v>
      </c>
      <c r="C15" s="900"/>
      <c r="D15" s="568"/>
      <c r="E15" s="43" t="s">
        <v>24</v>
      </c>
      <c r="F15" s="543"/>
      <c r="G15" s="44" t="s">
        <v>26</v>
      </c>
      <c r="H15" s="45">
        <v>1000</v>
      </c>
      <c r="I15" s="68">
        <f>IF(ISERROR(ROUND(D15*F15/H15-0.1,0)),"",ROUND(D15*F15/H15-0.1,0))</f>
        <v>0</v>
      </c>
      <c r="J15" s="39"/>
      <c r="K15" s="14"/>
      <c r="L15" s="36" t="s">
        <v>115</v>
      </c>
      <c r="M15" s="3"/>
      <c r="N15" s="526" t="str">
        <f>YEAR(EDATE('10号'!$U$10,-3))&amp;"年度（2018年4月1日より改定）"</f>
        <v>2020年度（2018年4月1日より改定）</v>
      </c>
      <c r="W15" s="52"/>
      <c r="X15" s="42"/>
    </row>
    <row r="16" spans="1:24" ht="36" customHeight="1" x14ac:dyDescent="0.15">
      <c r="A16" s="893"/>
      <c r="B16" s="897" t="s">
        <v>21</v>
      </c>
      <c r="C16" s="898"/>
      <c r="D16" s="551" t="str">
        <f>IF(D15="","",D15)</f>
        <v/>
      </c>
      <c r="E16" s="53" t="s">
        <v>24</v>
      </c>
      <c r="F16" s="544"/>
      <c r="G16" s="54" t="s">
        <v>25</v>
      </c>
      <c r="H16" s="55">
        <v>1000</v>
      </c>
      <c r="I16" s="69" t="str">
        <f>IF(ISERROR(ROUND(D16*F16/H16-0.1,0)),"",ROUND(D16*F16/H16-0.1,0))</f>
        <v/>
      </c>
      <c r="J16" s="39"/>
      <c r="L16" s="38" t="s">
        <v>219</v>
      </c>
      <c r="M16" s="30" t="s">
        <v>220</v>
      </c>
      <c r="N16" s="31" t="s">
        <v>54</v>
      </c>
    </row>
    <row r="17" spans="1:24" ht="36" customHeight="1" x14ac:dyDescent="0.15">
      <c r="A17" s="894"/>
      <c r="B17" s="904" t="s">
        <v>31</v>
      </c>
      <c r="C17" s="905"/>
      <c r="D17" s="905"/>
      <c r="E17" s="905"/>
      <c r="F17" s="905"/>
      <c r="G17" s="905"/>
      <c r="H17" s="906"/>
      <c r="I17" s="71">
        <f>SUM(I15:I16)</f>
        <v>0</v>
      </c>
      <c r="J17" s="39"/>
      <c r="L17" s="40" t="s">
        <v>221</v>
      </c>
      <c r="M17" s="295">
        <v>13</v>
      </c>
      <c r="N17" s="296" t="s">
        <v>91</v>
      </c>
      <c r="X17" s="42"/>
    </row>
    <row r="18" spans="1:24" ht="36" customHeight="1" x14ac:dyDescent="0.15">
      <c r="A18" s="892" t="str">
        <f>IF('10号'!U27="","",MONTH('10号'!U27))</f>
        <v/>
      </c>
      <c r="B18" s="899" t="s">
        <v>22</v>
      </c>
      <c r="C18" s="900"/>
      <c r="D18" s="568"/>
      <c r="E18" s="56" t="s">
        <v>24</v>
      </c>
      <c r="F18" s="543"/>
      <c r="G18" s="57" t="s">
        <v>26</v>
      </c>
      <c r="H18" s="58">
        <v>1000</v>
      </c>
      <c r="I18" s="68">
        <f>IF(ISERROR(ROUND(D18*F18/H18-0.1,0)),"",ROUND(D18*F18/H18-0.1,0))</f>
        <v>0</v>
      </c>
      <c r="J18" s="39"/>
      <c r="L18" s="46"/>
      <c r="M18" s="41">
        <v>13</v>
      </c>
      <c r="N18" s="47" t="s">
        <v>92</v>
      </c>
      <c r="X18" s="42"/>
    </row>
    <row r="19" spans="1:24" ht="36" customHeight="1" x14ac:dyDescent="0.15">
      <c r="A19" s="893"/>
      <c r="B19" s="897" t="s">
        <v>21</v>
      </c>
      <c r="C19" s="898"/>
      <c r="D19" s="552" t="str">
        <f>IF(D18="","",D18)</f>
        <v/>
      </c>
      <c r="E19" s="54" t="s">
        <v>24</v>
      </c>
      <c r="F19" s="544"/>
      <c r="G19" s="60" t="s">
        <v>25</v>
      </c>
      <c r="H19" s="55">
        <v>1000</v>
      </c>
      <c r="I19" s="69" t="str">
        <f>IF(ISERROR(ROUND(D19*F19/H19-0.1,0)),"",ROUND(D19*F19/H19-0.1,0))</f>
        <v/>
      </c>
      <c r="J19" s="39"/>
      <c r="L19" s="46"/>
      <c r="M19" s="41">
        <v>5.5</v>
      </c>
      <c r="N19" s="47" t="s">
        <v>93</v>
      </c>
    </row>
    <row r="20" spans="1:24" ht="36" customHeight="1" x14ac:dyDescent="0.15">
      <c r="A20" s="894"/>
      <c r="B20" s="904" t="s">
        <v>31</v>
      </c>
      <c r="C20" s="905"/>
      <c r="D20" s="905"/>
      <c r="E20" s="905"/>
      <c r="F20" s="905"/>
      <c r="G20" s="905"/>
      <c r="H20" s="906"/>
      <c r="I20" s="71">
        <f>SUM(I18:I19)</f>
        <v>0</v>
      </c>
      <c r="J20" s="39"/>
      <c r="L20" s="46"/>
      <c r="M20" s="41">
        <v>6.5</v>
      </c>
      <c r="N20" s="47" t="s">
        <v>94</v>
      </c>
      <c r="X20" s="42"/>
    </row>
    <row r="21" spans="1:24" ht="36" customHeight="1" x14ac:dyDescent="0.15">
      <c r="A21" s="892" t="str">
        <f>IF('10号'!U28="","",MONTH('10号'!U28))</f>
        <v/>
      </c>
      <c r="B21" s="899" t="s">
        <v>22</v>
      </c>
      <c r="C21" s="900"/>
      <c r="D21" s="568"/>
      <c r="E21" s="56" t="s">
        <v>24</v>
      </c>
      <c r="F21" s="543"/>
      <c r="G21" s="57" t="s">
        <v>26</v>
      </c>
      <c r="H21" s="58">
        <v>1000</v>
      </c>
      <c r="I21" s="68">
        <f>IF(ISERROR(ROUND(D21*F21/H21-0.1,0)),"",ROUND(D21*F21/H21-0.1,0))</f>
        <v>0</v>
      </c>
      <c r="J21" s="39"/>
      <c r="L21" s="46"/>
      <c r="M21" s="41">
        <v>2.5</v>
      </c>
      <c r="N21" s="47" t="s">
        <v>95</v>
      </c>
      <c r="X21" s="42"/>
    </row>
    <row r="22" spans="1:24" ht="36" customHeight="1" x14ac:dyDescent="0.15">
      <c r="A22" s="893"/>
      <c r="B22" s="897" t="s">
        <v>21</v>
      </c>
      <c r="C22" s="898"/>
      <c r="D22" s="553" t="str">
        <f>IF(D21="","",D21)</f>
        <v/>
      </c>
      <c r="E22" s="54" t="s">
        <v>24</v>
      </c>
      <c r="F22" s="544"/>
      <c r="G22" s="60" t="s">
        <v>25</v>
      </c>
      <c r="H22" s="55">
        <v>1000</v>
      </c>
      <c r="I22" s="69" t="str">
        <f>IF(ISERROR(ROUND(D22*F22/H22-0.1,0)),"",ROUND(D22*F22/H22-0.1,0))</f>
        <v/>
      </c>
      <c r="J22" s="39"/>
      <c r="L22" s="46"/>
      <c r="M22" s="41">
        <v>3</v>
      </c>
      <c r="N22" s="47" t="s">
        <v>96</v>
      </c>
    </row>
    <row r="23" spans="1:24" ht="36" customHeight="1" x14ac:dyDescent="0.2">
      <c r="A23" s="894"/>
      <c r="B23" s="904" t="s">
        <v>31</v>
      </c>
      <c r="C23" s="905"/>
      <c r="D23" s="905"/>
      <c r="E23" s="905"/>
      <c r="F23" s="905"/>
      <c r="G23" s="905"/>
      <c r="H23" s="906"/>
      <c r="I23" s="71">
        <f>SUM(I21:I22)</f>
        <v>0</v>
      </c>
      <c r="J23" s="64"/>
      <c r="L23" s="46"/>
      <c r="M23" s="41">
        <v>2.5</v>
      </c>
      <c r="N23" s="47" t="s">
        <v>97</v>
      </c>
    </row>
    <row r="24" spans="1:24" ht="36" customHeight="1" x14ac:dyDescent="0.15">
      <c r="A24" s="892" t="str">
        <f>IF('10号'!U29="","",MONTH('10号'!U29))</f>
        <v/>
      </c>
      <c r="B24" s="899" t="s">
        <v>22</v>
      </c>
      <c r="C24" s="900"/>
      <c r="D24" s="568"/>
      <c r="E24" s="56" t="s">
        <v>24</v>
      </c>
      <c r="F24" s="543"/>
      <c r="G24" s="57" t="s">
        <v>26</v>
      </c>
      <c r="H24" s="58">
        <v>1000</v>
      </c>
      <c r="I24" s="68">
        <f>IF(ISERROR(ROUND(D24*F24/H24-0.1,0)),"",ROUND(D24*F24/H24-0.1,0))</f>
        <v>0</v>
      </c>
      <c r="L24" s="46"/>
      <c r="M24" s="41">
        <v>3</v>
      </c>
      <c r="N24" s="59" t="s">
        <v>98</v>
      </c>
    </row>
    <row r="25" spans="1:24" ht="36" customHeight="1" x14ac:dyDescent="0.15">
      <c r="A25" s="893"/>
      <c r="B25" s="897" t="s">
        <v>21</v>
      </c>
      <c r="C25" s="898"/>
      <c r="D25" s="553" t="str">
        <f>IF(D24="","",D24)</f>
        <v/>
      </c>
      <c r="E25" s="54" t="s">
        <v>24</v>
      </c>
      <c r="F25" s="544"/>
      <c r="G25" s="60" t="s">
        <v>25</v>
      </c>
      <c r="H25" s="55">
        <v>1000</v>
      </c>
      <c r="I25" s="69" t="str">
        <f>IF(ISERROR(ROUND(D25*F25/H25-0.1,0)),"",ROUND(D25*F25/H25-0.1,0))</f>
        <v/>
      </c>
      <c r="L25" s="61" t="s">
        <v>55</v>
      </c>
      <c r="M25" s="62">
        <v>60</v>
      </c>
      <c r="N25" s="47" t="s">
        <v>222</v>
      </c>
    </row>
    <row r="26" spans="1:24" ht="36" customHeight="1" x14ac:dyDescent="0.15">
      <c r="A26" s="894"/>
      <c r="B26" s="904" t="s">
        <v>31</v>
      </c>
      <c r="C26" s="905"/>
      <c r="D26" s="905"/>
      <c r="E26" s="905"/>
      <c r="F26" s="905"/>
      <c r="G26" s="905"/>
      <c r="H26" s="906"/>
      <c r="I26" s="71">
        <f>SUM(I24:I25)</f>
        <v>0</v>
      </c>
      <c r="L26" s="61" t="s">
        <v>56</v>
      </c>
      <c r="M26" s="41">
        <v>18</v>
      </c>
      <c r="N26" s="47" t="s">
        <v>116</v>
      </c>
    </row>
    <row r="27" spans="1:24" ht="36" customHeight="1" thickBot="1" x14ac:dyDescent="0.25">
      <c r="A27" s="868" t="s">
        <v>3</v>
      </c>
      <c r="B27" s="869"/>
      <c r="C27" s="869"/>
      <c r="D27" s="869"/>
      <c r="E27" s="869"/>
      <c r="F27" s="869"/>
      <c r="G27" s="869"/>
      <c r="H27" s="870"/>
      <c r="I27" s="72">
        <f>I14+I17+I20+I23+I26</f>
        <v>0</v>
      </c>
      <c r="J27" s="152"/>
      <c r="L27" s="63"/>
      <c r="M27" s="41">
        <v>38</v>
      </c>
      <c r="N27" s="47" t="s">
        <v>223</v>
      </c>
    </row>
    <row r="28" spans="1:24" ht="34.5" customHeight="1" x14ac:dyDescent="0.2">
      <c r="A28" s="179"/>
      <c r="B28" s="179"/>
      <c r="C28" s="179"/>
      <c r="D28" s="179"/>
      <c r="E28" s="179"/>
      <c r="F28" s="179"/>
      <c r="G28" s="179"/>
      <c r="H28" s="179"/>
      <c r="I28" s="183"/>
      <c r="J28" s="153"/>
      <c r="L28" s="61" t="s">
        <v>57</v>
      </c>
      <c r="M28" s="41">
        <v>88</v>
      </c>
      <c r="N28" s="47" t="s">
        <v>117</v>
      </c>
    </row>
    <row r="29" spans="1:24" s="15" customFormat="1" ht="21.75" customHeight="1" x14ac:dyDescent="0.15">
      <c r="A29" s="179"/>
      <c r="B29" s="179"/>
      <c r="C29" s="179"/>
      <c r="D29" s="179"/>
      <c r="E29" s="179"/>
      <c r="F29" s="179"/>
      <c r="G29" s="179"/>
      <c r="H29" s="179"/>
      <c r="I29" s="282"/>
      <c r="K29" s="12"/>
      <c r="L29" s="269"/>
      <c r="M29" s="41">
        <v>16</v>
      </c>
      <c r="N29" s="47" t="s">
        <v>58</v>
      </c>
      <c r="O29" s="12"/>
      <c r="P29" s="12"/>
      <c r="R29" s="12"/>
      <c r="S29" s="12"/>
    </row>
    <row r="30" spans="1:24" ht="21" customHeight="1" x14ac:dyDescent="0.15">
      <c r="A30" s="23"/>
      <c r="J30" s="21"/>
      <c r="L30" s="269"/>
      <c r="M30" s="41">
        <v>2.5</v>
      </c>
      <c r="N30" s="47" t="s">
        <v>59</v>
      </c>
    </row>
    <row r="31" spans="1:24" ht="21.75" customHeight="1" x14ac:dyDescent="0.2">
      <c r="A31" s="23"/>
      <c r="J31" s="22"/>
      <c r="L31" s="269"/>
      <c r="M31" s="41">
        <v>49</v>
      </c>
      <c r="N31" s="47" t="s">
        <v>60</v>
      </c>
      <c r="O31" s="18"/>
      <c r="Q31" s="15"/>
    </row>
    <row r="32" spans="1:24" ht="21.75" customHeight="1" x14ac:dyDescent="0.2">
      <c r="A32" s="23"/>
      <c r="L32" s="63"/>
      <c r="M32" s="41">
        <v>26</v>
      </c>
      <c r="N32" s="47" t="s">
        <v>61</v>
      </c>
      <c r="O32" s="18"/>
      <c r="Q32" s="14"/>
      <c r="T32" s="480"/>
      <c r="U32" s="24"/>
      <c r="V32" s="907"/>
      <c r="W32" s="907"/>
      <c r="X32" s="907"/>
    </row>
    <row r="33" spans="1:24" s="15" customFormat="1" ht="18.75" x14ac:dyDescent="0.2">
      <c r="A33" s="23"/>
      <c r="B33" s="12"/>
      <c r="C33" s="12"/>
      <c r="D33" s="12"/>
      <c r="E33" s="12"/>
      <c r="F33" s="12"/>
      <c r="G33" s="12"/>
      <c r="H33" s="12"/>
      <c r="I33" s="13"/>
      <c r="J33" s="34"/>
      <c r="K33" s="12"/>
      <c r="L33" s="913"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14"/>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14"/>
      <c r="M35" s="41">
        <v>9</v>
      </c>
      <c r="N35" s="47" t="s">
        <v>65</v>
      </c>
      <c r="O35" s="12"/>
      <c r="Q35" s="12"/>
      <c r="R35" s="12"/>
      <c r="S35" s="12"/>
      <c r="U35" s="14"/>
      <c r="V35" s="14"/>
      <c r="X35" s="14"/>
    </row>
    <row r="36" spans="1:24" ht="21.75" customHeight="1" x14ac:dyDescent="0.15">
      <c r="A36" s="23"/>
      <c r="J36" s="39"/>
      <c r="L36" s="914"/>
      <c r="M36" s="41">
        <v>9</v>
      </c>
      <c r="N36" s="47" t="s">
        <v>66</v>
      </c>
      <c r="O36" s="15"/>
      <c r="P36" s="14"/>
      <c r="X36" s="42"/>
    </row>
    <row r="37" spans="1:24" ht="34.5" x14ac:dyDescent="0.15">
      <c r="A37" s="23"/>
      <c r="J37" s="39"/>
      <c r="L37" s="914"/>
      <c r="M37" s="41">
        <v>9.5</v>
      </c>
      <c r="N37" s="47" t="s">
        <v>118</v>
      </c>
      <c r="O37" s="15"/>
      <c r="R37" s="15"/>
      <c r="S37" s="15"/>
      <c r="X37" s="42"/>
    </row>
    <row r="38" spans="1:24" ht="21.75" customHeight="1" x14ac:dyDescent="0.15">
      <c r="A38" s="23"/>
      <c r="J38" s="39"/>
      <c r="L38" s="914"/>
      <c r="M38" s="41">
        <v>12</v>
      </c>
      <c r="N38" s="47" t="s">
        <v>67</v>
      </c>
      <c r="O38" s="14"/>
      <c r="V38" s="51"/>
      <c r="X38" s="42"/>
    </row>
    <row r="39" spans="1:24" ht="21.75" customHeight="1" x14ac:dyDescent="0.2">
      <c r="A39" s="23"/>
      <c r="J39" s="39"/>
      <c r="L39" s="914"/>
      <c r="M39" s="41">
        <v>6.5</v>
      </c>
      <c r="N39" s="47" t="s">
        <v>68</v>
      </c>
      <c r="R39" s="18"/>
      <c r="S39" s="18"/>
      <c r="W39" s="52"/>
      <c r="X39" s="42"/>
    </row>
    <row r="40" spans="1:24" ht="21.75" customHeight="1" x14ac:dyDescent="0.2">
      <c r="A40" s="23"/>
      <c r="J40" s="39"/>
      <c r="L40" s="915"/>
      <c r="M40" s="41">
        <v>15</v>
      </c>
      <c r="N40" s="47" t="s">
        <v>69</v>
      </c>
      <c r="S40" s="480"/>
    </row>
    <row r="41" spans="1:24" ht="21.75" customHeight="1" x14ac:dyDescent="0.15">
      <c r="J41" s="39"/>
      <c r="L41" s="290" t="s">
        <v>70</v>
      </c>
      <c r="M41" s="41">
        <v>6</v>
      </c>
      <c r="N41" s="47" t="s">
        <v>271</v>
      </c>
      <c r="R41" s="15"/>
      <c r="S41" s="15"/>
      <c r="X41" s="42"/>
    </row>
    <row r="42" spans="1:24" ht="21.75" customHeight="1" x14ac:dyDescent="0.15">
      <c r="J42" s="39"/>
      <c r="L42" s="291"/>
      <c r="M42" s="41">
        <v>4</v>
      </c>
      <c r="N42" s="47" t="s">
        <v>71</v>
      </c>
      <c r="R42" s="14"/>
      <c r="S42" s="14"/>
      <c r="X42" s="42"/>
    </row>
    <row r="43" spans="1:24" ht="21.75" customHeight="1" x14ac:dyDescent="0.15">
      <c r="J43" s="39"/>
      <c r="L43" s="291"/>
      <c r="M43" s="41">
        <v>14</v>
      </c>
      <c r="N43" s="47" t="s">
        <v>72</v>
      </c>
      <c r="R43" s="14"/>
      <c r="S43" s="14"/>
    </row>
    <row r="44" spans="1:24" ht="21.75" customHeight="1" x14ac:dyDescent="0.15">
      <c r="J44" s="39"/>
      <c r="L44" s="291"/>
      <c r="M44" s="41">
        <v>6.5</v>
      </c>
      <c r="N44" s="47" t="s">
        <v>73</v>
      </c>
      <c r="X44" s="42"/>
    </row>
    <row r="45" spans="1:24" ht="21.75" customHeight="1" x14ac:dyDescent="0.15">
      <c r="J45" s="39"/>
      <c r="L45" s="291"/>
      <c r="M45" s="41">
        <v>3.5</v>
      </c>
      <c r="N45" s="47" t="s">
        <v>74</v>
      </c>
      <c r="X45" s="42"/>
    </row>
    <row r="46" spans="1:24" ht="21.75" customHeight="1" x14ac:dyDescent="0.15">
      <c r="J46" s="39"/>
      <c r="L46" s="291"/>
      <c r="M46" s="41">
        <v>4.5</v>
      </c>
      <c r="N46" s="47" t="s">
        <v>75</v>
      </c>
    </row>
    <row r="47" spans="1:24" ht="21.75" customHeight="1" x14ac:dyDescent="0.2">
      <c r="J47" s="64"/>
      <c r="L47" s="291"/>
      <c r="M47" s="41">
        <v>6</v>
      </c>
      <c r="N47" s="47" t="s">
        <v>76</v>
      </c>
    </row>
    <row r="48" spans="1:24" ht="21.75" customHeight="1" x14ac:dyDescent="0.15">
      <c r="L48" s="291"/>
      <c r="M48" s="41">
        <v>13</v>
      </c>
      <c r="N48" s="47" t="s">
        <v>77</v>
      </c>
    </row>
    <row r="49" spans="1:24" ht="21.75" customHeight="1" x14ac:dyDescent="0.15">
      <c r="J49" s="245"/>
      <c r="L49" s="156"/>
      <c r="M49" s="41">
        <v>18</v>
      </c>
      <c r="N49" s="47" t="s">
        <v>78</v>
      </c>
    </row>
    <row r="50" spans="1:24" ht="21.75" customHeight="1" x14ac:dyDescent="0.15">
      <c r="J50" s="245"/>
      <c r="L50" s="156"/>
      <c r="M50" s="41">
        <v>26</v>
      </c>
      <c r="N50" s="47" t="s">
        <v>79</v>
      </c>
    </row>
    <row r="51" spans="1:24" ht="18.75" x14ac:dyDescent="0.2">
      <c r="J51" s="152"/>
      <c r="L51" s="156"/>
      <c r="M51" s="41">
        <v>6.5</v>
      </c>
      <c r="N51" s="47" t="s">
        <v>119</v>
      </c>
    </row>
    <row r="52" spans="1:24" ht="18.75" x14ac:dyDescent="0.2">
      <c r="J52" s="153"/>
      <c r="L52" s="156"/>
      <c r="M52" s="41">
        <v>7</v>
      </c>
      <c r="N52" s="47" t="s">
        <v>80</v>
      </c>
    </row>
    <row r="53" spans="1:24" s="15" customFormat="1" ht="21.75" customHeight="1" x14ac:dyDescent="0.15">
      <c r="A53" s="12"/>
      <c r="B53" s="12"/>
      <c r="C53" s="12"/>
      <c r="D53" s="12"/>
      <c r="E53" s="12"/>
      <c r="F53" s="12"/>
      <c r="G53" s="12"/>
      <c r="H53" s="12"/>
      <c r="I53" s="13"/>
      <c r="K53" s="12"/>
      <c r="L53" s="156"/>
      <c r="M53" s="41">
        <v>5.5</v>
      </c>
      <c r="N53" s="47" t="s">
        <v>120</v>
      </c>
      <c r="O53" s="12"/>
      <c r="P53" s="12"/>
      <c r="R53" s="12"/>
      <c r="S53" s="12"/>
    </row>
    <row r="54" spans="1:24" ht="18.75" x14ac:dyDescent="0.15">
      <c r="J54" s="21"/>
      <c r="K54" s="226"/>
      <c r="L54" s="156"/>
      <c r="M54" s="41">
        <v>16</v>
      </c>
      <c r="N54" s="47" t="s">
        <v>81</v>
      </c>
    </row>
    <row r="55" spans="1:24" ht="51.75" x14ac:dyDescent="0.2">
      <c r="J55" s="22"/>
      <c r="K55" s="226"/>
      <c r="L55" s="156"/>
      <c r="M55" s="41">
        <v>10</v>
      </c>
      <c r="N55" s="47" t="s">
        <v>121</v>
      </c>
      <c r="O55" s="18"/>
      <c r="Q55" s="15"/>
    </row>
    <row r="56" spans="1:24" ht="34.5" x14ac:dyDescent="0.2">
      <c r="L56" s="156"/>
      <c r="M56" s="41">
        <v>6.5</v>
      </c>
      <c r="N56" s="47" t="s">
        <v>122</v>
      </c>
      <c r="O56" s="18"/>
      <c r="Q56" s="14"/>
      <c r="T56" s="480"/>
      <c r="U56" s="24"/>
      <c r="V56" s="907"/>
      <c r="W56" s="907"/>
      <c r="X56" s="907"/>
    </row>
    <row r="57" spans="1:24" s="15" customFormat="1" ht="21.75" customHeight="1" x14ac:dyDescent="0.2">
      <c r="A57" s="12"/>
      <c r="B57" s="12"/>
      <c r="C57" s="12"/>
      <c r="D57" s="12"/>
      <c r="E57" s="12"/>
      <c r="F57" s="12"/>
      <c r="G57" s="12"/>
      <c r="H57" s="12"/>
      <c r="I57" s="13"/>
      <c r="J57" s="34"/>
      <c r="K57" s="12"/>
      <c r="L57" s="156"/>
      <c r="M57" s="41">
        <v>7</v>
      </c>
      <c r="N57" s="47" t="s">
        <v>82</v>
      </c>
      <c r="O57" s="18"/>
      <c r="Q57" s="12"/>
      <c r="R57" s="12"/>
      <c r="S57" s="12"/>
    </row>
    <row r="58" spans="1:24" s="15" customFormat="1" ht="69" x14ac:dyDescent="0.15">
      <c r="A58" s="12"/>
      <c r="B58" s="12"/>
      <c r="C58" s="12"/>
      <c r="D58" s="12"/>
      <c r="E58" s="12"/>
      <c r="F58" s="12"/>
      <c r="G58" s="12"/>
      <c r="H58" s="12"/>
      <c r="I58" s="13"/>
      <c r="J58" s="35"/>
      <c r="K58" s="12"/>
      <c r="L58" s="156"/>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6"/>
      <c r="M59" s="41">
        <v>2.5</v>
      </c>
      <c r="N59" s="47" t="s">
        <v>83</v>
      </c>
      <c r="O59" s="12"/>
      <c r="Q59" s="12"/>
      <c r="R59" s="12"/>
      <c r="S59" s="12"/>
      <c r="U59" s="14"/>
      <c r="V59" s="14"/>
      <c r="X59" s="14"/>
    </row>
    <row r="60" spans="1:24" ht="34.5" x14ac:dyDescent="0.15">
      <c r="J60" s="39"/>
      <c r="L60" s="156"/>
      <c r="M60" s="41">
        <v>4</v>
      </c>
      <c r="N60" s="47" t="s">
        <v>124</v>
      </c>
      <c r="O60" s="15"/>
      <c r="P60" s="14"/>
      <c r="X60" s="42"/>
    </row>
    <row r="61" spans="1:24" ht="21.75" customHeight="1" x14ac:dyDescent="0.15">
      <c r="J61" s="39"/>
      <c r="L61" s="156"/>
      <c r="M61" s="41">
        <v>23</v>
      </c>
      <c r="N61" s="47" t="s">
        <v>84</v>
      </c>
      <c r="O61" s="15"/>
      <c r="X61" s="42"/>
    </row>
    <row r="62" spans="1:24" ht="34.5" x14ac:dyDescent="0.15">
      <c r="J62" s="39"/>
      <c r="L62" s="156"/>
      <c r="M62" s="41">
        <v>2.5</v>
      </c>
      <c r="N62" s="47" t="s">
        <v>125</v>
      </c>
      <c r="O62" s="14"/>
      <c r="R62" s="15"/>
      <c r="S62" s="15"/>
    </row>
    <row r="63" spans="1:24" ht="34.5" x14ac:dyDescent="0.15">
      <c r="J63" s="39"/>
      <c r="L63" s="291"/>
      <c r="M63" s="41">
        <v>3.5</v>
      </c>
      <c r="N63" s="47" t="s">
        <v>85</v>
      </c>
      <c r="V63" s="51"/>
      <c r="X63" s="42"/>
    </row>
    <row r="64" spans="1:24" ht="21.75" customHeight="1" x14ac:dyDescent="0.2">
      <c r="J64" s="39"/>
      <c r="L64" s="292"/>
      <c r="M64" s="41">
        <v>6.5</v>
      </c>
      <c r="N64" s="47" t="s">
        <v>86</v>
      </c>
      <c r="R64" s="18"/>
      <c r="S64" s="18"/>
      <c r="W64" s="52"/>
      <c r="X64" s="42"/>
    </row>
    <row r="65" spans="10:24" ht="19.5" customHeight="1" x14ac:dyDescent="0.2">
      <c r="J65" s="39"/>
      <c r="L65" s="290" t="s">
        <v>87</v>
      </c>
      <c r="M65" s="41">
        <v>4</v>
      </c>
      <c r="N65" s="47" t="s">
        <v>88</v>
      </c>
      <c r="S65" s="480"/>
    </row>
    <row r="66" spans="10:24" ht="42" customHeight="1" x14ac:dyDescent="0.15">
      <c r="J66" s="39"/>
      <c r="L66" s="291"/>
      <c r="M66" s="41">
        <v>9</v>
      </c>
      <c r="N66" s="47" t="s">
        <v>126</v>
      </c>
      <c r="R66" s="15"/>
      <c r="S66" s="15"/>
      <c r="X66" s="42"/>
    </row>
    <row r="67" spans="10:24" ht="19.5" customHeight="1" x14ac:dyDescent="0.15">
      <c r="J67" s="39"/>
      <c r="L67" s="291"/>
      <c r="M67" s="41">
        <v>9</v>
      </c>
      <c r="N67" s="47" t="s">
        <v>127</v>
      </c>
      <c r="R67" s="14"/>
      <c r="S67" s="14"/>
      <c r="X67" s="42"/>
    </row>
    <row r="68" spans="10:24" ht="19.5" customHeight="1" x14ac:dyDescent="0.15">
      <c r="J68" s="39"/>
      <c r="L68" s="292"/>
      <c r="M68" s="41">
        <v>13</v>
      </c>
      <c r="N68" s="47" t="s">
        <v>89</v>
      </c>
      <c r="R68" s="14"/>
      <c r="S68" s="14"/>
    </row>
    <row r="69" spans="10:24" ht="42" customHeight="1" x14ac:dyDescent="0.15">
      <c r="J69" s="39"/>
      <c r="L69" s="297" t="s">
        <v>90</v>
      </c>
      <c r="M69" s="41">
        <v>3</v>
      </c>
      <c r="N69" s="47" t="s">
        <v>90</v>
      </c>
      <c r="X69" s="42"/>
    </row>
    <row r="70" spans="10:24" ht="42" customHeight="1" x14ac:dyDescent="0.15">
      <c r="J70" s="39"/>
      <c r="L70" s="298" t="s">
        <v>99</v>
      </c>
      <c r="M70" s="299">
        <v>47</v>
      </c>
      <c r="N70" s="300" t="s">
        <v>99</v>
      </c>
      <c r="X70" s="42"/>
    </row>
    <row r="71" spans="10:24" ht="39.75" customHeight="1" x14ac:dyDescent="0.15">
      <c r="J71" s="39"/>
      <c r="L71" s="228"/>
      <c r="M71" s="229"/>
      <c r="N71" s="230"/>
      <c r="O71" s="226"/>
      <c r="P71" s="226"/>
    </row>
    <row r="72" spans="10:24" ht="48" customHeight="1" x14ac:dyDescent="0.2">
      <c r="J72" s="64"/>
      <c r="K72" s="226"/>
      <c r="L72" s="228"/>
      <c r="M72" s="231"/>
      <c r="N72" s="232"/>
      <c r="O72" s="226"/>
      <c r="P72" s="226"/>
    </row>
    <row r="73" spans="10:24" ht="44.25" customHeight="1" x14ac:dyDescent="0.15">
      <c r="K73" s="226"/>
      <c r="L73" s="228"/>
      <c r="M73" s="231"/>
      <c r="N73" s="232"/>
      <c r="O73" s="226"/>
      <c r="P73" s="226"/>
    </row>
    <row r="74" spans="10:24" ht="18.75" customHeight="1" x14ac:dyDescent="0.15">
      <c r="K74" s="226"/>
      <c r="L74" s="233"/>
      <c r="M74" s="231"/>
      <c r="N74" s="232"/>
      <c r="O74" s="226"/>
      <c r="P74" s="226"/>
    </row>
    <row r="75" spans="10:24" ht="44.25" customHeight="1" x14ac:dyDescent="0.15">
      <c r="K75" s="226"/>
      <c r="L75" s="233"/>
      <c r="M75" s="231"/>
      <c r="N75" s="232"/>
      <c r="O75" s="226"/>
      <c r="P75" s="226"/>
    </row>
    <row r="76" spans="10:24" ht="18.75" x14ac:dyDescent="0.15">
      <c r="K76" s="226"/>
      <c r="L76" s="233"/>
      <c r="M76" s="231"/>
      <c r="N76" s="232"/>
      <c r="O76" s="226"/>
      <c r="P76" s="226"/>
    </row>
    <row r="77" spans="10:24" ht="18.75" x14ac:dyDescent="0.15">
      <c r="K77" s="226"/>
      <c r="L77" s="233"/>
      <c r="M77" s="231"/>
      <c r="N77" s="232"/>
      <c r="O77" s="226"/>
      <c r="P77" s="226"/>
    </row>
    <row r="78" spans="10:24" ht="18.75" x14ac:dyDescent="0.15">
      <c r="K78" s="226"/>
      <c r="L78" s="234"/>
      <c r="M78" s="235"/>
      <c r="N78" s="236"/>
      <c r="O78" s="226"/>
      <c r="P78" s="226"/>
    </row>
    <row r="79" spans="10:24" ht="18.75" x14ac:dyDescent="0.15">
      <c r="K79" s="226"/>
      <c r="L79" s="234"/>
      <c r="M79" s="235"/>
      <c r="N79" s="236"/>
      <c r="O79" s="226"/>
      <c r="P79" s="226"/>
    </row>
    <row r="80" spans="10:24" ht="18.75" x14ac:dyDescent="0.15">
      <c r="K80" s="226"/>
      <c r="L80" s="234"/>
      <c r="M80" s="235"/>
      <c r="N80" s="236"/>
      <c r="O80" s="226"/>
      <c r="P80" s="226"/>
    </row>
    <row r="81" spans="11:16" ht="18.75" x14ac:dyDescent="0.15">
      <c r="K81" s="226"/>
      <c r="L81" s="234"/>
      <c r="M81" s="235"/>
      <c r="N81" s="236"/>
      <c r="O81" s="226"/>
      <c r="P81" s="226"/>
    </row>
    <row r="82" spans="11:16" ht="18.75" x14ac:dyDescent="0.15">
      <c r="K82" s="226"/>
      <c r="L82" s="237"/>
      <c r="M82" s="235"/>
      <c r="N82" s="236"/>
      <c r="O82" s="226"/>
      <c r="P82" s="226"/>
    </row>
    <row r="83" spans="11:16" ht="18.75" x14ac:dyDescent="0.15">
      <c r="K83" s="226"/>
      <c r="L83" s="237"/>
      <c r="M83" s="235"/>
      <c r="N83" s="236"/>
      <c r="O83" s="226"/>
      <c r="P83" s="226"/>
    </row>
    <row r="84" spans="11:16" ht="18.75" x14ac:dyDescent="0.15">
      <c r="K84" s="226"/>
      <c r="L84" s="237"/>
      <c r="M84" s="235"/>
      <c r="N84" s="236"/>
      <c r="O84" s="226"/>
      <c r="P84" s="226"/>
    </row>
    <row r="85" spans="11:16" ht="18.75" x14ac:dyDescent="0.15">
      <c r="K85" s="226"/>
      <c r="L85" s="237"/>
      <c r="M85" s="235"/>
      <c r="N85" s="236"/>
      <c r="O85" s="226"/>
      <c r="P85" s="226"/>
    </row>
    <row r="86" spans="11:16" ht="18.75" x14ac:dyDescent="0.15">
      <c r="K86" s="226"/>
      <c r="L86" s="237"/>
      <c r="M86" s="235"/>
      <c r="N86" s="236"/>
      <c r="O86" s="226"/>
      <c r="P86" s="226"/>
    </row>
    <row r="87" spans="11:16" ht="18.75" x14ac:dyDescent="0.15">
      <c r="K87" s="226"/>
      <c r="L87" s="237"/>
      <c r="M87" s="235"/>
      <c r="N87" s="236"/>
      <c r="O87" s="226"/>
      <c r="P87" s="226"/>
    </row>
    <row r="88" spans="11:16" ht="18.75" x14ac:dyDescent="0.15">
      <c r="K88" s="226"/>
      <c r="L88" s="237"/>
      <c r="M88" s="235"/>
      <c r="N88" s="236"/>
      <c r="O88" s="226"/>
      <c r="P88" s="226"/>
    </row>
    <row r="89" spans="11:16" ht="18.75" x14ac:dyDescent="0.15">
      <c r="K89" s="226"/>
      <c r="L89" s="237"/>
      <c r="M89" s="235"/>
      <c r="N89" s="236"/>
      <c r="O89" s="226"/>
      <c r="P89" s="226"/>
    </row>
    <row r="90" spans="11:16" ht="18.75" x14ac:dyDescent="0.15">
      <c r="K90" s="226"/>
      <c r="L90" s="237"/>
      <c r="M90" s="235"/>
      <c r="N90" s="236"/>
      <c r="O90" s="226"/>
      <c r="P90" s="226"/>
    </row>
    <row r="91" spans="11:16" ht="18.75" x14ac:dyDescent="0.15">
      <c r="K91" s="226"/>
      <c r="L91" s="237"/>
      <c r="M91" s="235"/>
      <c r="N91" s="236"/>
      <c r="O91" s="226"/>
      <c r="P91" s="226"/>
    </row>
    <row r="92" spans="11:16" ht="18.75" x14ac:dyDescent="0.15">
      <c r="K92" s="226"/>
      <c r="L92" s="237"/>
      <c r="M92" s="235"/>
      <c r="N92" s="236"/>
      <c r="O92" s="226"/>
      <c r="P92" s="226"/>
    </row>
    <row r="93" spans="11:16" ht="18.75" x14ac:dyDescent="0.15">
      <c r="K93" s="226"/>
      <c r="L93" s="237"/>
      <c r="M93" s="235"/>
      <c r="N93" s="236"/>
      <c r="O93" s="226"/>
      <c r="P93" s="226"/>
    </row>
    <row r="94" spans="11:16" ht="18.75" x14ac:dyDescent="0.15">
      <c r="K94" s="226"/>
      <c r="L94" s="237"/>
      <c r="M94" s="235"/>
      <c r="N94" s="236"/>
      <c r="O94" s="226"/>
      <c r="P94" s="226"/>
    </row>
    <row r="95" spans="11:16" ht="18.75" x14ac:dyDescent="0.15">
      <c r="K95" s="226"/>
      <c r="L95" s="237"/>
      <c r="M95" s="235"/>
      <c r="N95" s="236"/>
      <c r="O95" s="226"/>
      <c r="P95" s="226"/>
    </row>
    <row r="96" spans="11:16" ht="18.75" x14ac:dyDescent="0.15">
      <c r="K96" s="226"/>
      <c r="L96" s="237"/>
      <c r="M96" s="235"/>
      <c r="N96" s="236"/>
      <c r="O96" s="226"/>
      <c r="P96" s="226"/>
    </row>
    <row r="97" spans="11:16" ht="18.75" x14ac:dyDescent="0.15">
      <c r="K97" s="226"/>
      <c r="L97" s="237"/>
      <c r="M97" s="235"/>
      <c r="N97" s="236"/>
      <c r="O97" s="226"/>
      <c r="P97" s="226"/>
    </row>
    <row r="98" spans="11:16" ht="18.75" x14ac:dyDescent="0.15">
      <c r="K98" s="226"/>
      <c r="L98" s="237"/>
      <c r="M98" s="235"/>
      <c r="N98" s="236"/>
      <c r="O98" s="226"/>
      <c r="P98" s="226"/>
    </row>
    <row r="99" spans="11:16" ht="18.75" x14ac:dyDescent="0.15">
      <c r="K99" s="226"/>
      <c r="L99" s="237"/>
      <c r="M99" s="235"/>
      <c r="N99" s="236"/>
      <c r="O99" s="226"/>
      <c r="P99" s="226"/>
    </row>
    <row r="100" spans="11:16" ht="18.75" x14ac:dyDescent="0.15">
      <c r="K100" s="226"/>
      <c r="L100" s="237"/>
      <c r="M100" s="235"/>
      <c r="N100" s="236"/>
      <c r="O100" s="226"/>
      <c r="P100" s="226"/>
    </row>
    <row r="101" spans="11:16" ht="18.75" x14ac:dyDescent="0.15">
      <c r="K101" s="226"/>
      <c r="L101" s="237"/>
      <c r="M101" s="235"/>
      <c r="N101" s="236"/>
      <c r="O101" s="226"/>
      <c r="P101" s="226"/>
    </row>
    <row r="102" spans="11:16" ht="18.75" x14ac:dyDescent="0.15">
      <c r="K102" s="226"/>
      <c r="L102" s="237"/>
      <c r="M102" s="235"/>
      <c r="N102" s="236"/>
      <c r="O102" s="226"/>
      <c r="P102" s="226"/>
    </row>
    <row r="103" spans="11:16" ht="18.75" x14ac:dyDescent="0.15">
      <c r="K103" s="226"/>
      <c r="L103" s="237"/>
      <c r="M103" s="235"/>
      <c r="N103" s="236"/>
      <c r="O103" s="226"/>
      <c r="P103" s="226"/>
    </row>
    <row r="104" spans="11:16" ht="18.75" x14ac:dyDescent="0.15">
      <c r="K104" s="226"/>
      <c r="L104" s="237"/>
      <c r="M104" s="235"/>
      <c r="N104" s="236"/>
      <c r="O104" s="226"/>
      <c r="P104" s="226"/>
    </row>
    <row r="105" spans="11:16" ht="18.75" x14ac:dyDescent="0.15">
      <c r="K105" s="226"/>
      <c r="L105" s="237"/>
      <c r="M105" s="235"/>
      <c r="N105" s="236"/>
      <c r="O105" s="226"/>
      <c r="P105" s="226"/>
    </row>
    <row r="106" spans="11:16" ht="18.75" x14ac:dyDescent="0.15">
      <c r="K106" s="226"/>
      <c r="L106" s="237"/>
      <c r="M106" s="235"/>
      <c r="N106" s="236"/>
      <c r="O106" s="226"/>
      <c r="P106" s="226"/>
    </row>
    <row r="107" spans="11:16" ht="18.75" x14ac:dyDescent="0.15">
      <c r="K107" s="226"/>
      <c r="L107" s="237"/>
      <c r="M107" s="235"/>
      <c r="N107" s="236"/>
      <c r="O107" s="226"/>
      <c r="P107" s="226"/>
    </row>
    <row r="108" spans="11:16" ht="18.75" x14ac:dyDescent="0.15">
      <c r="K108" s="226"/>
      <c r="L108" s="237"/>
      <c r="M108" s="235"/>
      <c r="N108" s="236"/>
      <c r="O108" s="226"/>
      <c r="P108" s="226"/>
    </row>
    <row r="109" spans="11:16" ht="18.75" x14ac:dyDescent="0.15">
      <c r="K109" s="226"/>
      <c r="L109" s="237"/>
      <c r="M109" s="235"/>
      <c r="N109" s="236"/>
      <c r="O109" s="226"/>
      <c r="P109" s="226"/>
    </row>
    <row r="110" spans="11:16" ht="18.75" x14ac:dyDescent="0.15">
      <c r="K110" s="226"/>
      <c r="L110" s="237"/>
      <c r="M110" s="235"/>
      <c r="N110" s="236"/>
      <c r="O110" s="226"/>
      <c r="P110" s="226"/>
    </row>
    <row r="111" spans="11:16" ht="18.75" x14ac:dyDescent="0.15">
      <c r="K111" s="226"/>
      <c r="L111" s="237"/>
      <c r="M111" s="235"/>
      <c r="N111" s="236"/>
      <c r="O111" s="226"/>
      <c r="P111" s="226"/>
    </row>
    <row r="112" spans="11:16" ht="18.75" x14ac:dyDescent="0.15">
      <c r="K112" s="226"/>
      <c r="L112" s="237"/>
      <c r="M112" s="235"/>
      <c r="N112" s="236"/>
      <c r="O112" s="226"/>
      <c r="P112" s="226"/>
    </row>
    <row r="113" spans="11:16" ht="18.75" x14ac:dyDescent="0.15">
      <c r="K113" s="226"/>
      <c r="L113" s="237"/>
      <c r="M113" s="235"/>
      <c r="N113" s="236"/>
      <c r="O113" s="226"/>
      <c r="P113" s="226"/>
    </row>
    <row r="114" spans="11:16" ht="18.75" x14ac:dyDescent="0.15">
      <c r="K114" s="226"/>
      <c r="L114" s="237"/>
      <c r="M114" s="235"/>
      <c r="N114" s="236"/>
      <c r="O114" s="226"/>
      <c r="P114" s="226"/>
    </row>
    <row r="115" spans="11:16" ht="18.75" x14ac:dyDescent="0.15">
      <c r="K115" s="226"/>
      <c r="L115" s="237"/>
      <c r="M115" s="235"/>
      <c r="N115" s="236"/>
      <c r="O115" s="226"/>
      <c r="P115" s="226"/>
    </row>
    <row r="116" spans="11:16" ht="18.75" x14ac:dyDescent="0.15">
      <c r="K116" s="226"/>
      <c r="L116" s="237"/>
      <c r="M116" s="235"/>
      <c r="N116" s="236"/>
      <c r="O116" s="226"/>
      <c r="P116" s="226"/>
    </row>
    <row r="117" spans="11:16" ht="18.75" x14ac:dyDescent="0.15">
      <c r="K117" s="226"/>
      <c r="L117" s="237"/>
      <c r="M117" s="235"/>
      <c r="N117" s="236"/>
      <c r="O117" s="226"/>
      <c r="P117" s="226"/>
    </row>
    <row r="118" spans="11:16" ht="18.75" x14ac:dyDescent="0.15">
      <c r="K118" s="226"/>
      <c r="L118" s="237"/>
      <c r="M118" s="235"/>
      <c r="N118" s="236"/>
      <c r="O118" s="226"/>
      <c r="P118" s="226"/>
    </row>
    <row r="119" spans="11:16" ht="18.75" x14ac:dyDescent="0.15">
      <c r="K119" s="226"/>
      <c r="L119" s="238"/>
      <c r="M119" s="235"/>
      <c r="N119" s="236"/>
      <c r="O119" s="226"/>
      <c r="P119" s="226"/>
    </row>
    <row r="120" spans="11:16" ht="18.75" x14ac:dyDescent="0.15">
      <c r="K120" s="226"/>
      <c r="L120" s="239"/>
      <c r="M120" s="235"/>
      <c r="N120" s="240"/>
      <c r="O120" s="226"/>
      <c r="P120" s="226"/>
    </row>
    <row r="121" spans="11:16" x14ac:dyDescent="0.15">
      <c r="K121" s="226"/>
      <c r="L121" s="227"/>
      <c r="M121" s="205"/>
      <c r="N121" s="205"/>
      <c r="O121" s="226"/>
      <c r="P121" s="226"/>
    </row>
    <row r="122" spans="11:16" x14ac:dyDescent="0.15">
      <c r="K122" s="226"/>
    </row>
  </sheetData>
  <sheetProtection password="ECA8" sheet="1" objects="1" scenarios="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'10号'!U28&lt;&gt;""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'10号'!$U$29&lt;&gt;""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AND('10号'!$U$28="",'10号'!$U$25&lt;&gt;"")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AND('10号'!$U$29="",'10号'!$U$25&lt;&gt;"")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c r="A1" s="149"/>
    </row>
    <row r="2" spans="1:18" ht="18.75" customHeight="1" x14ac:dyDescent="0.2">
      <c r="A2" s="81"/>
      <c r="B2" s="81"/>
      <c r="C2" s="81"/>
      <c r="D2" s="81"/>
      <c r="E2" s="81"/>
      <c r="F2" s="82" t="str">
        <f>'10号'!L3</f>
        <v>〈令和２年度第１回〉</v>
      </c>
      <c r="I2" s="890"/>
      <c r="J2" s="890"/>
      <c r="O2" s="606"/>
      <c r="P2" s="606"/>
      <c r="Q2" s="606"/>
      <c r="R2" s="606"/>
    </row>
    <row r="3" spans="1:18" ht="28.5" customHeight="1" x14ac:dyDescent="0.2">
      <c r="A3" s="83" t="s">
        <v>137</v>
      </c>
      <c r="B3" s="81"/>
      <c r="C3" s="81"/>
      <c r="D3" s="81"/>
      <c r="E3" s="81"/>
      <c r="F3" s="84"/>
      <c r="I3" s="891"/>
      <c r="J3" s="891"/>
      <c r="K3" s="891"/>
      <c r="O3" s="4"/>
    </row>
    <row r="4" spans="1:18" s="15" customFormat="1" ht="27.75" customHeight="1" x14ac:dyDescent="0.2">
      <c r="A4" s="85" t="str">
        <f>"（５）指導者研修費 （ 第 "&amp;'10号'!$J$4&amp;" 回 ）"</f>
        <v>（５）指導者研修費 （ 第  回 ）</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65" t="str">
        <f>IF('10号'!$G$10="","",'10号'!$G$10)</f>
        <v/>
      </c>
      <c r="D6" s="865"/>
      <c r="E6" s="865"/>
      <c r="F6" s="865"/>
      <c r="H6" s="18"/>
      <c r="I6" s="18"/>
      <c r="J6" s="18"/>
      <c r="O6" s="4"/>
    </row>
    <row r="7" spans="1:18" ht="27.75" customHeight="1" x14ac:dyDescent="0.2">
      <c r="A7" s="91" t="s">
        <v>19</v>
      </c>
      <c r="B7" s="92"/>
      <c r="C7" s="865" t="str">
        <f>IF('10号'!$E$18="","",'10号'!$E$18)</f>
        <v/>
      </c>
      <c r="D7" s="865"/>
      <c r="E7" s="865"/>
      <c r="F7" s="865"/>
      <c r="H7" s="18"/>
      <c r="I7" s="18"/>
      <c r="J7" s="18"/>
      <c r="O7" s="4"/>
    </row>
    <row r="8" spans="1:18" ht="27.75" customHeight="1" x14ac:dyDescent="0.2">
      <c r="A8" s="91"/>
      <c r="B8" s="81"/>
      <c r="C8" s="81"/>
      <c r="D8" s="81"/>
      <c r="E8" s="81"/>
      <c r="F8" s="88"/>
      <c r="G8" s="15"/>
      <c r="H8" s="15"/>
      <c r="I8" s="15"/>
      <c r="J8" s="15"/>
      <c r="K8" s="15"/>
      <c r="L8" s="881" t="str">
        <f>'10号'!$E$6</f>
        <v/>
      </c>
      <c r="M8" s="881"/>
      <c r="N8" s="24" t="s">
        <v>18</v>
      </c>
      <c r="O8" s="907" t="str">
        <f>'10号'!G6</f>
        <v/>
      </c>
      <c r="P8" s="907"/>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2" t="s">
        <v>0</v>
      </c>
      <c r="B10" s="916" t="s">
        <v>8</v>
      </c>
      <c r="C10" s="917"/>
      <c r="D10" s="918"/>
      <c r="E10" s="25" t="s">
        <v>11</v>
      </c>
      <c r="F10" s="16" t="s">
        <v>7</v>
      </c>
      <c r="G10" s="14"/>
      <c r="H10" s="14"/>
      <c r="I10" s="14"/>
      <c r="J10" s="14"/>
      <c r="K10" s="14"/>
      <c r="L10" s="15"/>
      <c r="M10" s="15"/>
      <c r="N10" s="15"/>
      <c r="O10" s="15"/>
      <c r="P10" s="15"/>
    </row>
    <row r="11" spans="1:18" ht="71.25" customHeight="1" x14ac:dyDescent="0.15">
      <c r="A11" s="507"/>
      <c r="B11" s="886"/>
      <c r="C11" s="887"/>
      <c r="D11" s="888"/>
      <c r="E11" s="569"/>
      <c r="F11" s="496"/>
      <c r="L11" s="74" t="s">
        <v>145</v>
      </c>
      <c r="M11" s="73" t="str">
        <f>'10号'!$U$25</f>
        <v/>
      </c>
      <c r="N11" s="73" t="str">
        <f>'10号'!$V$25</f>
        <v/>
      </c>
      <c r="O11" s="74">
        <f>SUMPRODUCT(($A$11:$A$18&gt;=$M11)*($A$11:$A$18&lt;=$N11)*$F$11:$F$18)</f>
        <v>0</v>
      </c>
      <c r="P11" s="74"/>
    </row>
    <row r="12" spans="1:18" ht="71.25" customHeight="1" x14ac:dyDescent="0.15">
      <c r="A12" s="507"/>
      <c r="B12" s="871"/>
      <c r="C12" s="872"/>
      <c r="D12" s="873"/>
      <c r="E12" s="569"/>
      <c r="F12" s="496"/>
      <c r="L12" s="74" t="s">
        <v>146</v>
      </c>
      <c r="M12" s="73" t="str">
        <f>'10号'!$U$26</f>
        <v/>
      </c>
      <c r="N12" s="73" t="str">
        <f>'10号'!$V$26</f>
        <v/>
      </c>
      <c r="O12" s="74">
        <f>SUMPRODUCT(($A$11:$A$18&gt;=$M12)*($A$11:$A$18&lt;=$N12)*$F$11:$F$18)</f>
        <v>0</v>
      </c>
      <c r="P12" s="74"/>
    </row>
    <row r="13" spans="1:18" ht="71.25" customHeight="1" x14ac:dyDescent="0.15">
      <c r="A13" s="507"/>
      <c r="B13" s="871"/>
      <c r="C13" s="872"/>
      <c r="D13" s="873"/>
      <c r="E13" s="569"/>
      <c r="F13" s="496"/>
      <c r="L13" s="74" t="s">
        <v>147</v>
      </c>
      <c r="M13" s="73" t="str">
        <f>'10号'!$U$27</f>
        <v/>
      </c>
      <c r="N13" s="73" t="str">
        <f>'10号'!$V$27</f>
        <v/>
      </c>
      <c r="O13" s="74">
        <f>SUMPRODUCT(($A$11:$A$18&gt;=$M13)*($A$11:$A$18&lt;=$N13)*$F$11:$F$18)</f>
        <v>0</v>
      </c>
      <c r="P13" s="74"/>
    </row>
    <row r="14" spans="1:18" ht="71.25" customHeight="1" x14ac:dyDescent="0.15">
      <c r="A14" s="507"/>
      <c r="B14" s="871"/>
      <c r="C14" s="872"/>
      <c r="D14" s="873"/>
      <c r="E14" s="569"/>
      <c r="F14" s="496"/>
      <c r="L14" s="74" t="s">
        <v>148</v>
      </c>
      <c r="M14" s="73" t="str">
        <f>'10号'!$U28</f>
        <v/>
      </c>
      <c r="N14" s="73" t="str">
        <f>'10号'!$V28</f>
        <v/>
      </c>
      <c r="O14" s="74">
        <f>SUMPRODUCT(($A$11:$A$18&gt;=$M14)*($A$11:$A$18&lt;=$N14)*$F$11:$F$18)</f>
        <v>0</v>
      </c>
      <c r="P14" s="74">
        <f>SUM(O11:O14)</f>
        <v>0</v>
      </c>
    </row>
    <row r="15" spans="1:18" ht="71.25" customHeight="1" x14ac:dyDescent="0.15">
      <c r="A15" s="507"/>
      <c r="B15" s="871"/>
      <c r="C15" s="872"/>
      <c r="D15" s="873"/>
      <c r="E15" s="569"/>
      <c r="F15" s="496"/>
      <c r="L15" s="74" t="s">
        <v>157</v>
      </c>
      <c r="M15" s="73" t="str">
        <f>'10号'!$U29</f>
        <v/>
      </c>
      <c r="N15" s="73" t="str">
        <f>'10号'!$V29</f>
        <v/>
      </c>
      <c r="O15" s="74">
        <f t="shared" ref="O15:O22" si="0">SUMPRODUCT(($A$11:$A$18&gt;=$M15)*($A$11:$A$18&lt;=$N15)*$F$11:$F$18)</f>
        <v>0</v>
      </c>
      <c r="P15" s="15"/>
    </row>
    <row r="16" spans="1:18" ht="71.25" customHeight="1" x14ac:dyDescent="0.15">
      <c r="A16" s="507"/>
      <c r="B16" s="871"/>
      <c r="C16" s="872"/>
      <c r="D16" s="873"/>
      <c r="E16" s="569"/>
      <c r="F16" s="496"/>
      <c r="I16" s="14"/>
      <c r="J16" s="14"/>
      <c r="K16" s="14"/>
      <c r="L16" s="74" t="s">
        <v>158</v>
      </c>
      <c r="M16" s="73" t="str">
        <f>'10号'!$U30</f>
        <v/>
      </c>
      <c r="N16" s="73" t="str">
        <f>'10号'!$V30</f>
        <v/>
      </c>
      <c r="O16" s="74">
        <f t="shared" si="0"/>
        <v>0</v>
      </c>
    </row>
    <row r="17" spans="1:15" ht="71.25" customHeight="1" x14ac:dyDescent="0.15">
      <c r="A17" s="507"/>
      <c r="B17" s="871"/>
      <c r="C17" s="872"/>
      <c r="D17" s="873"/>
      <c r="E17" s="569"/>
      <c r="F17" s="496"/>
      <c r="L17" s="74" t="s">
        <v>159</v>
      </c>
      <c r="M17" s="73" t="str">
        <f>'10号'!$U31</f>
        <v/>
      </c>
      <c r="N17" s="73" t="str">
        <f>'10号'!$V31</f>
        <v/>
      </c>
      <c r="O17" s="74">
        <f t="shared" si="0"/>
        <v>0</v>
      </c>
    </row>
    <row r="18" spans="1:15" ht="71.25" customHeight="1" x14ac:dyDescent="0.15">
      <c r="A18" s="507"/>
      <c r="B18" s="871"/>
      <c r="C18" s="872"/>
      <c r="D18" s="873"/>
      <c r="E18" s="569"/>
      <c r="F18" s="496"/>
      <c r="L18" s="74" t="s">
        <v>160</v>
      </c>
      <c r="M18" s="73" t="str">
        <f>'10号'!$U32</f>
        <v/>
      </c>
      <c r="N18" s="73" t="str">
        <f>'10号'!$V32</f>
        <v/>
      </c>
      <c r="O18" s="74">
        <f t="shared" si="0"/>
        <v>0</v>
      </c>
    </row>
    <row r="19" spans="1:15" s="15" customFormat="1" ht="48" customHeight="1" thickBot="1" x14ac:dyDescent="0.2">
      <c r="A19" s="868" t="s">
        <v>3</v>
      </c>
      <c r="B19" s="869"/>
      <c r="C19" s="869"/>
      <c r="D19" s="869"/>
      <c r="E19" s="870"/>
      <c r="F19" s="467">
        <f>IF(AND('10号'!$Q$3=TRUE,'11号-6'!$O$24&gt;420000),420000,IF(AND('10号'!$Q$3=FALSE,'11号-6'!$O$24&gt;120000),120000,'11号-6'!$O$24))</f>
        <v>0</v>
      </c>
      <c r="I19" s="12"/>
      <c r="J19" s="12"/>
      <c r="K19" s="12"/>
      <c r="L19" s="74" t="s">
        <v>161</v>
      </c>
      <c r="M19" s="73" t="str">
        <f>'10号'!$U33</f>
        <v/>
      </c>
      <c r="N19" s="73" t="str">
        <f>'10号'!$V33</f>
        <v/>
      </c>
      <c r="O19" s="74">
        <f t="shared" si="0"/>
        <v>0</v>
      </c>
    </row>
    <row r="20" spans="1:15" x14ac:dyDescent="0.15">
      <c r="A20" s="23"/>
      <c r="L20" s="74" t="s">
        <v>162</v>
      </c>
      <c r="M20" s="73" t="str">
        <f>'10号'!$U34</f>
        <v/>
      </c>
      <c r="N20" s="73" t="str">
        <f>'10号'!$V34</f>
        <v/>
      </c>
      <c r="O20" s="74">
        <f t="shared" si="0"/>
        <v>0</v>
      </c>
    </row>
    <row r="21" spans="1:15" x14ac:dyDescent="0.15">
      <c r="A21" s="23"/>
      <c r="L21" s="74" t="s">
        <v>163</v>
      </c>
      <c r="M21" s="73" t="str">
        <f>'10号'!$U35</f>
        <v/>
      </c>
      <c r="N21" s="73" t="str">
        <f>'10号'!$V35</f>
        <v/>
      </c>
      <c r="O21" s="74">
        <f t="shared" si="0"/>
        <v>0</v>
      </c>
    </row>
    <row r="22" spans="1:15" x14ac:dyDescent="0.15">
      <c r="L22" s="74" t="s">
        <v>164</v>
      </c>
      <c r="M22" s="73" t="str">
        <f>'10号'!$U36</f>
        <v/>
      </c>
      <c r="N22" s="73" t="str">
        <f>'10号'!$V36</f>
        <v/>
      </c>
      <c r="O22" s="74">
        <f t="shared" si="0"/>
        <v>0</v>
      </c>
    </row>
    <row r="23" spans="1:15" x14ac:dyDescent="0.15">
      <c r="L23" s="74"/>
      <c r="M23" s="73"/>
      <c r="N23" s="73"/>
      <c r="O23" s="74"/>
    </row>
    <row r="24" spans="1:15" ht="21.75" thickBot="1" x14ac:dyDescent="0.2">
      <c r="L24" s="74"/>
      <c r="M24" s="73"/>
      <c r="N24" s="73"/>
      <c r="O24" s="65">
        <f>SUMPRODUCT(($A$11:$A$18&gt;=$L$8)*($A$11:$A$18&lt;=$O$8)*F11:F18)</f>
        <v>0</v>
      </c>
    </row>
    <row r="25" spans="1:15" x14ac:dyDescent="0.15">
      <c r="I25" s="15"/>
      <c r="J25" s="15"/>
      <c r="K25" s="15"/>
      <c r="L25" s="15"/>
      <c r="M25" s="15"/>
      <c r="N25" s="15"/>
      <c r="O25" s="15"/>
    </row>
  </sheetData>
  <sheetProtection algorithmName="SHA-512" hashValue="2ycsNLU2uEjbVVVuGrotTi/ktYPjKdrnUU/kcCL70ARHF9wrccb4PtUDpYxbpK8eVbg09GfcdgzVK8DZQp4e5g==" saltValue="fxFKRcQkcx/bS451zeR13A=="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8" sqref="A18"/>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c r="A1" s="149"/>
    </row>
    <row r="2" spans="1:18" ht="18.75" customHeight="1" x14ac:dyDescent="0.2">
      <c r="A2" s="81"/>
      <c r="B2" s="81"/>
      <c r="C2" s="81"/>
      <c r="D2" s="81"/>
      <c r="E2" s="81"/>
      <c r="F2" s="82" t="str">
        <f>'10号'!L3</f>
        <v>〈令和２年度第１回〉</v>
      </c>
      <c r="I2" s="890"/>
      <c r="J2" s="890"/>
      <c r="O2" s="606"/>
      <c r="P2" s="606"/>
      <c r="Q2" s="606"/>
      <c r="R2" s="606"/>
    </row>
    <row r="3" spans="1:18" ht="28.5" customHeight="1" x14ac:dyDescent="0.2">
      <c r="A3" s="83" t="s">
        <v>138</v>
      </c>
      <c r="B3" s="81"/>
      <c r="C3" s="81"/>
      <c r="D3" s="81"/>
      <c r="E3" s="81"/>
      <c r="F3" s="84"/>
      <c r="I3" s="891"/>
      <c r="J3" s="891"/>
      <c r="K3" s="891"/>
      <c r="O3" s="4"/>
    </row>
    <row r="4" spans="1:18" s="15" customFormat="1" ht="27.75" customHeight="1" x14ac:dyDescent="0.2">
      <c r="A4" s="85" t="str">
        <f>"（６）語学研修費 （ 第 "&amp;'10号'!$J$4&amp;" 回）"</f>
        <v>（６）語学研修費 （ 第  回）</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65" t="str">
        <f>IF('10号'!$G$10="","",'10号'!$G$10)</f>
        <v/>
      </c>
      <c r="D6" s="865"/>
      <c r="E6" s="865"/>
      <c r="F6" s="865"/>
      <c r="H6" s="18"/>
      <c r="I6" s="18"/>
      <c r="J6" s="18"/>
      <c r="O6" s="4"/>
    </row>
    <row r="7" spans="1:18" ht="27.75" customHeight="1" x14ac:dyDescent="0.2">
      <c r="A7" s="91" t="s">
        <v>19</v>
      </c>
      <c r="B7" s="92"/>
      <c r="C7" s="865" t="str">
        <f>IF('10号'!$E$18="","",'10号'!$E$18)</f>
        <v/>
      </c>
      <c r="D7" s="865"/>
      <c r="E7" s="865"/>
      <c r="F7" s="865"/>
      <c r="G7" s="18"/>
      <c r="H7" s="18"/>
      <c r="J7" s="18"/>
      <c r="O7" s="4"/>
    </row>
    <row r="8" spans="1:18" ht="27.75" customHeight="1" x14ac:dyDescent="0.2">
      <c r="A8" s="91"/>
      <c r="B8" s="81"/>
      <c r="C8" s="81"/>
      <c r="D8" s="81"/>
      <c r="E8" s="81"/>
      <c r="F8" s="88"/>
      <c r="G8" s="15"/>
      <c r="H8" s="15"/>
      <c r="J8" s="15"/>
      <c r="K8" s="15"/>
      <c r="L8" s="881" t="str">
        <f>'10号'!$E$6</f>
        <v/>
      </c>
      <c r="M8" s="881"/>
      <c r="N8" s="24" t="s">
        <v>18</v>
      </c>
      <c r="O8" s="907" t="str">
        <f>'10号'!G6</f>
        <v/>
      </c>
      <c r="P8" s="907"/>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2" t="s">
        <v>0</v>
      </c>
      <c r="B10" s="916" t="s">
        <v>8</v>
      </c>
      <c r="C10" s="917"/>
      <c r="D10" s="918"/>
      <c r="E10" s="25" t="s">
        <v>11</v>
      </c>
      <c r="F10" s="16" t="s">
        <v>7</v>
      </c>
      <c r="G10" s="14"/>
      <c r="H10" s="14"/>
      <c r="I10" s="14"/>
      <c r="J10" s="14"/>
      <c r="K10" s="14"/>
    </row>
    <row r="11" spans="1:18" ht="71.25" customHeight="1" x14ac:dyDescent="0.15">
      <c r="A11" s="507"/>
      <c r="B11" s="919"/>
      <c r="C11" s="919"/>
      <c r="D11" s="919"/>
      <c r="E11" s="498"/>
      <c r="F11" s="496"/>
      <c r="L11" s="74" t="s">
        <v>145</v>
      </c>
      <c r="M11" s="73" t="str">
        <f>'10号'!$U$25</f>
        <v/>
      </c>
      <c r="N11" s="73" t="str">
        <f>'10号'!$V$25</f>
        <v/>
      </c>
      <c r="O11" s="74">
        <f t="shared" ref="O11:O22" si="0">SUMPRODUCT(($A$11:$A$18&gt;=$M11)*($A$11:$A$18&lt;=$N11)*$F$11:$F$18)</f>
        <v>0</v>
      </c>
      <c r="P11" s="519" t="str">
        <f>IF(O11&gt;30000,MONTH(M11)&amp;"月分が月額上限額30,000円を超えています","")</f>
        <v/>
      </c>
    </row>
    <row r="12" spans="1:18" ht="71.25" customHeight="1" x14ac:dyDescent="0.15">
      <c r="A12" s="507"/>
      <c r="B12" s="919"/>
      <c r="C12" s="919"/>
      <c r="D12" s="919"/>
      <c r="E12" s="498"/>
      <c r="F12" s="496"/>
      <c r="L12" s="74" t="s">
        <v>146</v>
      </c>
      <c r="M12" s="73" t="str">
        <f>'10号'!$U$26</f>
        <v/>
      </c>
      <c r="N12" s="73" t="str">
        <f>'10号'!$V$26</f>
        <v/>
      </c>
      <c r="O12" s="74">
        <f t="shared" si="0"/>
        <v>0</v>
      </c>
      <c r="P12" s="519"/>
    </row>
    <row r="13" spans="1:18" ht="71.25" customHeight="1" x14ac:dyDescent="0.15">
      <c r="A13" s="507"/>
      <c r="B13" s="919"/>
      <c r="C13" s="919"/>
      <c r="D13" s="919"/>
      <c r="E13" s="498"/>
      <c r="F13" s="496"/>
      <c r="L13" s="74" t="s">
        <v>147</v>
      </c>
      <c r="M13" s="73" t="str">
        <f>'10号'!$U$27</f>
        <v/>
      </c>
      <c r="N13" s="73" t="str">
        <f>'10号'!$V$27</f>
        <v/>
      </c>
      <c r="O13" s="74">
        <f t="shared" si="0"/>
        <v>0</v>
      </c>
      <c r="P13" s="519" t="str">
        <f t="shared" ref="P13:P14" si="1">IF(O13&gt;30000,MONTH(M13)&amp;"月分が上限額を超えています","")</f>
        <v/>
      </c>
    </row>
    <row r="14" spans="1:18" ht="71.25" customHeight="1" x14ac:dyDescent="0.15">
      <c r="A14" s="507"/>
      <c r="B14" s="919"/>
      <c r="C14" s="919"/>
      <c r="D14" s="919"/>
      <c r="E14" s="498"/>
      <c r="F14" s="496"/>
      <c r="L14" s="74" t="s">
        <v>148</v>
      </c>
      <c r="M14" s="73" t="str">
        <f>'10号'!$U28</f>
        <v/>
      </c>
      <c r="N14" s="73" t="str">
        <f>'10号'!$V28</f>
        <v/>
      </c>
      <c r="O14" s="74">
        <f t="shared" si="0"/>
        <v>0</v>
      </c>
      <c r="P14" s="519" t="str">
        <f t="shared" si="1"/>
        <v/>
      </c>
    </row>
    <row r="15" spans="1:18" ht="71.25" customHeight="1" x14ac:dyDescent="0.15">
      <c r="A15" s="507"/>
      <c r="B15" s="919"/>
      <c r="C15" s="919"/>
      <c r="D15" s="919"/>
      <c r="E15" s="498"/>
      <c r="F15" s="496"/>
      <c r="L15" s="74" t="s">
        <v>157</v>
      </c>
      <c r="M15" s="73" t="str">
        <f>'10号'!$U29</f>
        <v/>
      </c>
      <c r="N15" s="73" t="str">
        <f>'10号'!$V29</f>
        <v/>
      </c>
      <c r="O15" s="74">
        <f t="shared" si="0"/>
        <v>0</v>
      </c>
    </row>
    <row r="16" spans="1:18" ht="71.25" customHeight="1" x14ac:dyDescent="0.15">
      <c r="A16" s="507"/>
      <c r="B16" s="919"/>
      <c r="C16" s="919"/>
      <c r="D16" s="919"/>
      <c r="E16" s="498"/>
      <c r="F16" s="496"/>
      <c r="I16" s="14"/>
      <c r="J16" s="14"/>
      <c r="K16" s="14"/>
      <c r="L16" s="74" t="s">
        <v>158</v>
      </c>
      <c r="M16" s="73" t="str">
        <f>'10号'!$U30</f>
        <v/>
      </c>
      <c r="N16" s="73" t="str">
        <f>'10号'!$V30</f>
        <v/>
      </c>
      <c r="O16" s="74">
        <f t="shared" si="0"/>
        <v>0</v>
      </c>
    </row>
    <row r="17" spans="1:15" ht="71.25" customHeight="1" x14ac:dyDescent="0.15">
      <c r="A17" s="507"/>
      <c r="B17" s="919"/>
      <c r="C17" s="919"/>
      <c r="D17" s="919"/>
      <c r="E17" s="498"/>
      <c r="F17" s="496"/>
      <c r="L17" s="74" t="s">
        <v>159</v>
      </c>
      <c r="M17" s="73" t="str">
        <f>'10号'!$U31</f>
        <v/>
      </c>
      <c r="N17" s="73" t="str">
        <f>'10号'!$V31</f>
        <v/>
      </c>
      <c r="O17" s="74">
        <f t="shared" si="0"/>
        <v>0</v>
      </c>
    </row>
    <row r="18" spans="1:15" ht="71.25" customHeight="1" x14ac:dyDescent="0.15">
      <c r="A18" s="507"/>
      <c r="B18" s="919"/>
      <c r="C18" s="919"/>
      <c r="D18" s="919"/>
      <c r="E18" s="498"/>
      <c r="F18" s="496"/>
      <c r="L18" s="74" t="s">
        <v>160</v>
      </c>
      <c r="M18" s="73" t="str">
        <f>'10号'!$U32</f>
        <v/>
      </c>
      <c r="N18" s="73" t="str">
        <f>'10号'!$V32</f>
        <v/>
      </c>
      <c r="O18" s="74">
        <f t="shared" si="0"/>
        <v>0</v>
      </c>
    </row>
    <row r="19" spans="1:15" s="15" customFormat="1" ht="48" customHeight="1" thickBot="1" x14ac:dyDescent="0.2">
      <c r="A19" s="920" t="s">
        <v>282</v>
      </c>
      <c r="B19" s="921"/>
      <c r="C19" s="921"/>
      <c r="D19" s="922" t="str">
        <f>IF(OR(O11&gt;30000,O12&gt;30000,O13&gt;30000,O14&gt;30000,O15&gt;30000),"月額の上限30,000円を"&amp;CHAR(10)&amp;"超えている月があります","")</f>
        <v/>
      </c>
      <c r="E19" s="923"/>
      <c r="F19" s="65">
        <f>SUMPRODUCT(($A$11:$A$18&gt;=$L$8)*($A$11:$A$18&lt;=$O$8)*F11:F18)</f>
        <v>0</v>
      </c>
      <c r="I19" s="12"/>
      <c r="J19" s="12"/>
      <c r="K19" s="12"/>
      <c r="L19" s="74" t="s">
        <v>161</v>
      </c>
      <c r="M19" s="73" t="str">
        <f>'10号'!$U33</f>
        <v/>
      </c>
      <c r="N19" s="73" t="str">
        <f>'10号'!$V33</f>
        <v/>
      </c>
      <c r="O19" s="74">
        <f t="shared" si="0"/>
        <v>0</v>
      </c>
    </row>
    <row r="20" spans="1:15" ht="51.75" customHeight="1" x14ac:dyDescent="0.15">
      <c r="A20" s="23"/>
      <c r="L20" s="74" t="s">
        <v>162</v>
      </c>
      <c r="M20" s="73" t="str">
        <f>'10号'!$U34</f>
        <v/>
      </c>
      <c r="N20" s="73" t="str">
        <f>'10号'!$V34</f>
        <v/>
      </c>
      <c r="O20" s="74">
        <f t="shared" si="0"/>
        <v>0</v>
      </c>
    </row>
    <row r="21" spans="1:15" ht="18.75" customHeight="1" x14ac:dyDescent="0.15">
      <c r="A21" s="23"/>
      <c r="L21" s="74" t="s">
        <v>163</v>
      </c>
      <c r="M21" s="73" t="str">
        <f>'10号'!$U35</f>
        <v/>
      </c>
      <c r="N21" s="73" t="str">
        <f>'10号'!$V35</f>
        <v/>
      </c>
      <c r="O21" s="74">
        <f t="shared" si="0"/>
        <v>0</v>
      </c>
    </row>
    <row r="22" spans="1:15" x14ac:dyDescent="0.15">
      <c r="L22" s="74" t="s">
        <v>164</v>
      </c>
      <c r="M22" s="73" t="str">
        <f>'10号'!$U36</f>
        <v/>
      </c>
      <c r="N22" s="73" t="str">
        <f>'10号'!$V36</f>
        <v/>
      </c>
      <c r="O22" s="74">
        <f t="shared" si="0"/>
        <v>0</v>
      </c>
    </row>
    <row r="23" spans="1:15" x14ac:dyDescent="0.15">
      <c r="L23" s="74"/>
      <c r="M23" s="73"/>
      <c r="N23" s="73"/>
      <c r="O23" s="74"/>
    </row>
    <row r="24" spans="1:15" x14ac:dyDescent="0.15">
      <c r="L24" s="74"/>
      <c r="M24" s="73"/>
      <c r="N24" s="73"/>
      <c r="O24" s="74"/>
    </row>
    <row r="25" spans="1:15" x14ac:dyDescent="0.15">
      <c r="I25" s="15"/>
      <c r="J25" s="15"/>
      <c r="K25" s="15"/>
      <c r="L25" s="74"/>
      <c r="M25" s="73"/>
      <c r="N25" s="73"/>
      <c r="O25" s="74"/>
    </row>
    <row r="26" spans="1:15" x14ac:dyDescent="0.15">
      <c r="L26" s="74"/>
      <c r="M26" s="73"/>
      <c r="N26" s="73"/>
      <c r="O26" s="74"/>
    </row>
    <row r="27" spans="1:15" x14ac:dyDescent="0.15">
      <c r="L27" s="74"/>
      <c r="M27" s="73"/>
      <c r="N27" s="73"/>
      <c r="O27" s="74"/>
    </row>
    <row r="28" spans="1:15" x14ac:dyDescent="0.15">
      <c r="L28" s="74"/>
      <c r="M28" s="73"/>
      <c r="N28" s="73"/>
      <c r="O28" s="74"/>
    </row>
  </sheetData>
  <sheetProtection password="ECA8"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6"/>
  <sheetViews>
    <sheetView showGridLines="0" view="pageBreakPreview" zoomScale="70" zoomScaleNormal="70" zoomScaleSheetLayoutView="70" workbookViewId="0">
      <selection activeCell="J4" sqref="J4"/>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82" customWidth="1"/>
    <col min="25" max="26" width="4.625" style="19" hidden="1" customWidth="1"/>
    <col min="27" max="27" width="10.875" style="19" hidden="1" customWidth="1"/>
    <col min="28" max="28" width="7"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06"/>
      <c r="C1" s="606"/>
      <c r="D1" s="606"/>
      <c r="E1" s="4"/>
      <c r="S1" s="180"/>
      <c r="Y1" s="541" t="s">
        <v>287</v>
      </c>
      <c r="Z1" s="350"/>
      <c r="AA1" s="351"/>
      <c r="AB1" s="190"/>
      <c r="AM1" s="180"/>
    </row>
    <row r="2" spans="1:39" ht="39" customHeight="1" thickTop="1" thickBot="1" x14ac:dyDescent="0.2">
      <c r="B2" s="80"/>
      <c r="C2" s="80"/>
      <c r="D2" s="80"/>
      <c r="E2" s="5"/>
      <c r="S2" s="180"/>
      <c r="Y2" s="637" t="s">
        <v>289</v>
      </c>
      <c r="Z2" s="638"/>
      <c r="AA2" s="639"/>
      <c r="AB2" s="340" t="s">
        <v>288</v>
      </c>
      <c r="AM2" s="180"/>
    </row>
    <row r="3" spans="1:39" ht="31.5" customHeight="1" thickTop="1" x14ac:dyDescent="0.45">
      <c r="A3" s="170" t="s">
        <v>140</v>
      </c>
      <c r="B3" s="10"/>
      <c r="C3" s="170"/>
      <c r="D3" s="10"/>
      <c r="E3" s="10"/>
      <c r="F3" s="10"/>
      <c r="G3" s="10"/>
      <c r="H3" s="10"/>
      <c r="J3" s="10"/>
      <c r="K3" s="10"/>
      <c r="L3" s="532" t="str">
        <f>Y2</f>
        <v>〈令和２年度第１回〉</v>
      </c>
      <c r="M3" s="566"/>
      <c r="N3" s="566"/>
      <c r="O3" s="566"/>
      <c r="P3" s="566"/>
      <c r="Q3" s="567" t="b">
        <v>0</v>
      </c>
      <c r="R3" s="554"/>
      <c r="X3" s="279"/>
      <c r="Z3" s="191"/>
      <c r="AA3" s="345"/>
    </row>
    <row r="4" spans="1:39" ht="22.5" customHeight="1" x14ac:dyDescent="0.3">
      <c r="A4" s="10"/>
      <c r="B4" s="161"/>
      <c r="C4" s="7"/>
      <c r="D4" s="162"/>
      <c r="E4" s="162"/>
      <c r="F4" s="162"/>
      <c r="G4" s="162"/>
      <c r="H4" s="10"/>
      <c r="I4" s="163" t="s">
        <v>128</v>
      </c>
      <c r="J4" s="530"/>
      <c r="K4" s="164" t="s">
        <v>167</v>
      </c>
      <c r="L4" s="139"/>
      <c r="M4" s="139"/>
      <c r="N4" s="139"/>
      <c r="O4" s="10"/>
      <c r="P4" s="162"/>
      <c r="S4" s="651" t="s">
        <v>169</v>
      </c>
      <c r="T4" s="651"/>
      <c r="U4" s="651"/>
      <c r="V4" s="651"/>
      <c r="W4" s="651"/>
      <c r="X4" s="279"/>
      <c r="Y4" s="342"/>
      <c r="Z4" s="343" t="s">
        <v>154</v>
      </c>
      <c r="AA4" s="346" t="str">
        <f>DBCS(CONCATENATE("〈令和",LEFT(AB2,LEN(AB2)-2),"年度第",RIGHT(AB2,1),"回〉"))</f>
        <v>〈令和２年度第１回〉</v>
      </c>
      <c r="AB4" s="347"/>
    </row>
    <row r="5" spans="1:39" ht="12" customHeight="1" x14ac:dyDescent="0.3">
      <c r="A5" s="10"/>
      <c r="B5" s="165"/>
      <c r="C5" s="166"/>
      <c r="D5" s="10"/>
      <c r="E5" s="10"/>
      <c r="F5" s="10"/>
      <c r="G5" s="10"/>
      <c r="H5" s="10"/>
      <c r="I5" s="10"/>
      <c r="J5" s="10"/>
      <c r="K5" s="10"/>
      <c r="L5" s="10"/>
      <c r="M5" s="10"/>
      <c r="N5" s="10"/>
      <c r="O5" s="10"/>
      <c r="P5" s="10"/>
      <c r="S5" s="651"/>
      <c r="T5" s="651"/>
      <c r="U5" s="651"/>
      <c r="V5" s="651"/>
      <c r="W5" s="651"/>
      <c r="X5" s="279"/>
      <c r="Y5" s="341"/>
      <c r="Z5" s="344" t="s">
        <v>155</v>
      </c>
      <c r="AA5" s="348" t="str">
        <f>CONCATENATE(LEFT(AA4,LEN(AA4)-1)," 新法人設立支援タイプ〉")</f>
        <v>〈令和２年度第１回 新法人設立支援タイプ〉</v>
      </c>
      <c r="AB5" s="349"/>
    </row>
    <row r="6" spans="1:39" ht="24.75" customHeight="1" x14ac:dyDescent="0.25">
      <c r="A6" s="10"/>
      <c r="B6" s="10"/>
      <c r="C6" s="10"/>
      <c r="D6" s="167" t="s">
        <v>42</v>
      </c>
      <c r="E6" s="508" t="str">
        <f>IF(J4="","",INDEX($U$9:$U$20,MATCH($J$4,$T$9:$T$20,0)))</f>
        <v/>
      </c>
      <c r="F6" s="168" t="s">
        <v>16</v>
      </c>
      <c r="G6" s="607" t="str">
        <f>IF(J4="","",INDEX($V$9:$V$20,MATCH($J$4,$T$9:$T$20,0)))</f>
        <v/>
      </c>
      <c r="H6" s="607"/>
      <c r="I6" s="607"/>
      <c r="J6" s="168" t="s">
        <v>41</v>
      </c>
      <c r="K6" s="168"/>
      <c r="L6" s="168"/>
      <c r="M6" s="168"/>
      <c r="N6" s="168"/>
      <c r="O6" s="10"/>
      <c r="P6" s="10"/>
      <c r="S6" s="651"/>
      <c r="T6" s="651"/>
      <c r="U6" s="651"/>
      <c r="V6" s="651"/>
      <c r="W6" s="651"/>
      <c r="Z6" s="263"/>
      <c r="AA6" s="263"/>
      <c r="AC6" s="524"/>
      <c r="AD6" s="524"/>
    </row>
    <row r="7" spans="1:39" ht="21" customHeight="1" x14ac:dyDescent="0.25">
      <c r="A7" s="10"/>
      <c r="B7" s="161"/>
      <c r="C7" s="10"/>
      <c r="D7" s="10"/>
      <c r="E7" s="10"/>
      <c r="F7" s="10"/>
      <c r="G7" s="10"/>
      <c r="H7" s="10"/>
      <c r="I7" s="10"/>
      <c r="J7" s="654"/>
      <c r="K7" s="654"/>
      <c r="L7" s="169" t="s">
        <v>103</v>
      </c>
      <c r="M7" s="261"/>
      <c r="N7" s="169" t="s">
        <v>104</v>
      </c>
      <c r="O7" s="261"/>
      <c r="P7" s="169" t="s">
        <v>105</v>
      </c>
      <c r="S7" s="182"/>
      <c r="T7" s="182"/>
      <c r="U7" s="182"/>
      <c r="V7" s="182"/>
      <c r="W7" s="182"/>
      <c r="AC7" s="524"/>
      <c r="AD7" s="525"/>
    </row>
    <row r="8" spans="1:39" ht="17.25" thickBot="1" x14ac:dyDescent="0.3">
      <c r="A8" s="10"/>
      <c r="B8" s="170" t="s">
        <v>225</v>
      </c>
      <c r="C8" s="171"/>
      <c r="D8" s="10"/>
      <c r="E8" s="10"/>
      <c r="F8" s="10"/>
      <c r="G8" s="10"/>
      <c r="H8" s="10"/>
      <c r="I8" s="10"/>
      <c r="J8" s="10"/>
      <c r="K8" s="10"/>
      <c r="L8" s="10"/>
      <c r="M8" s="10"/>
      <c r="N8" s="10"/>
      <c r="O8" s="10"/>
      <c r="P8" s="10"/>
      <c r="AD8" s="263"/>
    </row>
    <row r="9" spans="1:39" ht="20.25" thickBot="1" x14ac:dyDescent="0.5">
      <c r="A9" s="10"/>
      <c r="B9" s="170"/>
      <c r="C9" s="171"/>
      <c r="D9" s="10"/>
      <c r="E9" s="10"/>
      <c r="F9" s="10"/>
      <c r="G9" s="10"/>
      <c r="H9" s="10"/>
      <c r="I9" s="10"/>
      <c r="J9" s="10"/>
      <c r="K9" s="10"/>
      <c r="L9" s="10"/>
      <c r="M9" s="10"/>
      <c r="N9" s="10"/>
      <c r="O9" s="10"/>
      <c r="P9" s="10"/>
      <c r="S9" s="274" t="s">
        <v>195</v>
      </c>
      <c r="T9" s="275" t="s">
        <v>196</v>
      </c>
      <c r="U9" s="275" t="s">
        <v>197</v>
      </c>
      <c r="V9" s="311" t="s">
        <v>198</v>
      </c>
      <c r="W9" s="312" t="s">
        <v>166</v>
      </c>
      <c r="X9" s="555"/>
      <c r="Y9" s="192" t="s">
        <v>170</v>
      </c>
      <c r="Z9" s="263"/>
      <c r="AA9" s="263"/>
      <c r="AB9" s="201">
        <f>MONTH(U10)</f>
        <v>6</v>
      </c>
      <c r="AD9" s="263"/>
    </row>
    <row r="10" spans="1:39" ht="29.25" customHeight="1" x14ac:dyDescent="0.25">
      <c r="A10" s="10"/>
      <c r="B10" s="161"/>
      <c r="C10" s="10"/>
      <c r="D10" s="10"/>
      <c r="E10" s="127"/>
      <c r="F10" s="172" t="s">
        <v>272</v>
      </c>
      <c r="G10" s="616"/>
      <c r="H10" s="616"/>
      <c r="I10" s="616"/>
      <c r="J10" s="616"/>
      <c r="K10" s="616"/>
      <c r="L10" s="616"/>
      <c r="M10" s="616"/>
      <c r="N10" s="616"/>
      <c r="O10" s="616"/>
      <c r="P10" s="76"/>
      <c r="S10" s="500">
        <f t="shared" ref="S10:S15" si="0">IF(WEEKDAY(EOMONTH(V10,1),2)=7,EOMONTH(V10,1)-2,IF(WEEKDAY(EOMONTH(V10,1),2)=6,EOMONTH(V10,1)-1,EOMONTH(V10,1)))-AB10</f>
        <v>44134</v>
      </c>
      <c r="T10" s="527">
        <f>Z10</f>
        <v>1</v>
      </c>
      <c r="U10" s="501">
        <v>43983</v>
      </c>
      <c r="V10" s="502">
        <f t="shared" ref="V10:V15" si="1">EOMONTH(U10,Y10-1)</f>
        <v>44104</v>
      </c>
      <c r="W10" s="310" t="str">
        <f t="shared" ref="W10:W15" si="2">VLOOKUP(Y10,$Z$10:$AA$14,2,0)</f>
        <v>①～④</v>
      </c>
      <c r="X10" s="313"/>
      <c r="Y10" s="537">
        <f>IF(MONTH(U10)=1,3,IF(MONTH(U10)=2,2,IF(MONTH(U10)=3,1,IF(MONTH(U10)=11,5,4))))</f>
        <v>4</v>
      </c>
      <c r="Z10" s="539">
        <v>1</v>
      </c>
      <c r="AA10" s="540" t="s">
        <v>229</v>
      </c>
      <c r="AB10" s="542">
        <f t="shared" ref="AB10:AB15" si="3">IF(MONTH(EOMONTH(V10,1))=12,3,0)</f>
        <v>0</v>
      </c>
      <c r="AD10" s="263"/>
    </row>
    <row r="11" spans="1:39" ht="21" customHeight="1" x14ac:dyDescent="0.25">
      <c r="A11" s="10"/>
      <c r="B11" s="161"/>
      <c r="C11" s="10"/>
      <c r="D11" s="10"/>
      <c r="E11" s="127"/>
      <c r="F11" s="172"/>
      <c r="G11" s="1" t="s">
        <v>156</v>
      </c>
      <c r="H11" s="260"/>
      <c r="I11" s="2"/>
      <c r="J11" s="2"/>
      <c r="K11" s="2"/>
      <c r="L11" s="2"/>
      <c r="M11" s="2"/>
      <c r="N11" s="2"/>
      <c r="O11" s="2"/>
      <c r="P11" s="154"/>
      <c r="S11" s="500">
        <f t="shared" si="0"/>
        <v>44253</v>
      </c>
      <c r="T11" s="528">
        <f>Z11</f>
        <v>2</v>
      </c>
      <c r="U11" s="503">
        <f>V10+1</f>
        <v>44105</v>
      </c>
      <c r="V11" s="504">
        <f t="shared" si="1"/>
        <v>44227</v>
      </c>
      <c r="W11" s="280" t="str">
        <f t="shared" si="2"/>
        <v>①～④</v>
      </c>
      <c r="X11" s="313"/>
      <c r="Y11" s="537">
        <f>IF(MONTH(U11)=1,3,IF(MONTH(U11)=2,2,IF(MONTH(U11)=3,1,IF(MONTH(U11)=11,5,4))))</f>
        <v>4</v>
      </c>
      <c r="Z11" s="538">
        <v>2</v>
      </c>
      <c r="AA11" s="540" t="s">
        <v>230</v>
      </c>
      <c r="AB11" s="542">
        <f t="shared" si="3"/>
        <v>0</v>
      </c>
      <c r="AD11" s="263"/>
    </row>
    <row r="12" spans="1:39" ht="29.25" customHeight="1" x14ac:dyDescent="0.25">
      <c r="A12" s="10"/>
      <c r="B12" s="161"/>
      <c r="C12" s="10"/>
      <c r="D12" s="10"/>
      <c r="E12" s="10"/>
      <c r="F12" s="172" t="s">
        <v>32</v>
      </c>
      <c r="G12" s="652"/>
      <c r="H12" s="652"/>
      <c r="I12" s="652"/>
      <c r="J12" s="652"/>
      <c r="K12" s="652"/>
      <c r="L12" s="652"/>
      <c r="M12" s="652"/>
      <c r="N12" s="652"/>
      <c r="O12" s="652"/>
      <c r="P12" s="155"/>
      <c r="S12" s="500">
        <f t="shared" si="0"/>
        <v>44316</v>
      </c>
      <c r="T12" s="528">
        <f>Z12</f>
        <v>3</v>
      </c>
      <c r="U12" s="503">
        <f t="shared" ref="U12:U14" si="4">V11+1</f>
        <v>44228</v>
      </c>
      <c r="V12" s="504">
        <f t="shared" si="1"/>
        <v>44286</v>
      </c>
      <c r="W12" s="280" t="str">
        <f t="shared" si="2"/>
        <v>①～②</v>
      </c>
      <c r="X12" s="313"/>
      <c r="Y12" s="537">
        <f>IF(MONTH(U12)=1,3,IF(MONTH(U12)=2,2,IF(MONTH(U12)=3,1,IF(MONTH(U12)=11,5,4))))</f>
        <v>2</v>
      </c>
      <c r="Z12" s="538">
        <v>3</v>
      </c>
      <c r="AA12" s="540" t="s">
        <v>231</v>
      </c>
      <c r="AB12" s="542">
        <f t="shared" si="3"/>
        <v>0</v>
      </c>
      <c r="AD12" s="263"/>
    </row>
    <row r="13" spans="1:39" ht="29.25" customHeight="1" x14ac:dyDescent="0.25">
      <c r="A13" s="10"/>
      <c r="B13" s="161"/>
      <c r="C13" s="10"/>
      <c r="D13" s="10"/>
      <c r="E13" s="127"/>
      <c r="F13" s="172" t="s">
        <v>273</v>
      </c>
      <c r="G13" s="653"/>
      <c r="H13" s="653"/>
      <c r="I13" s="653"/>
      <c r="J13" s="653"/>
      <c r="K13" s="653"/>
      <c r="L13" s="653"/>
      <c r="M13" s="653"/>
      <c r="N13" s="653"/>
      <c r="O13" s="653"/>
      <c r="P13" s="79"/>
      <c r="S13" s="500">
        <f t="shared" si="0"/>
        <v>44439</v>
      </c>
      <c r="T13" s="528">
        <f>Z13</f>
        <v>4</v>
      </c>
      <c r="U13" s="503">
        <f t="shared" si="4"/>
        <v>44287</v>
      </c>
      <c r="V13" s="504">
        <f t="shared" si="1"/>
        <v>44408</v>
      </c>
      <c r="W13" s="280" t="str">
        <f t="shared" si="2"/>
        <v>①～④</v>
      </c>
      <c r="X13" s="313"/>
      <c r="Y13" s="537">
        <f>IF(MONTH(U13)=1,3,IF(MONTH(U13)=2,2,IF(MONTH(U13)=3,1,IF(MONTH(U13)=11,5,4))))</f>
        <v>4</v>
      </c>
      <c r="Z13" s="538">
        <v>4</v>
      </c>
      <c r="AA13" s="540" t="s">
        <v>276</v>
      </c>
      <c r="AB13" s="542">
        <f t="shared" si="3"/>
        <v>0</v>
      </c>
      <c r="AD13" s="263"/>
    </row>
    <row r="14" spans="1:39" ht="24" customHeight="1" x14ac:dyDescent="0.25">
      <c r="A14" s="10"/>
      <c r="B14" s="170"/>
      <c r="C14" s="171"/>
      <c r="D14" s="10"/>
      <c r="E14" s="10"/>
      <c r="F14" s="10"/>
      <c r="G14" s="10"/>
      <c r="H14" s="10"/>
      <c r="I14" s="10"/>
      <c r="J14" s="10"/>
      <c r="K14" s="10"/>
      <c r="L14" s="10"/>
      <c r="M14" s="10"/>
      <c r="N14" s="10"/>
      <c r="O14" s="10"/>
      <c r="P14" s="10"/>
      <c r="S14" s="500">
        <f t="shared" si="0"/>
        <v>44558</v>
      </c>
      <c r="T14" s="528">
        <f>Z14</f>
        <v>5</v>
      </c>
      <c r="U14" s="503">
        <f t="shared" si="4"/>
        <v>44409</v>
      </c>
      <c r="V14" s="504">
        <f t="shared" si="1"/>
        <v>44530</v>
      </c>
      <c r="W14" s="280" t="str">
        <f t="shared" si="2"/>
        <v>①～④</v>
      </c>
      <c r="X14" s="314"/>
      <c r="Y14" s="537">
        <f>IF(MONTH(U14)=1,3,IF(MONTH(U14)=2,2,IF(MONTH(U14)=3,1,IF(MONTH(U14)=11,5,4))))</f>
        <v>4</v>
      </c>
      <c r="Z14" s="538">
        <v>5</v>
      </c>
      <c r="AA14" s="540" t="s">
        <v>277</v>
      </c>
      <c r="AB14" s="542">
        <f t="shared" si="3"/>
        <v>3</v>
      </c>
      <c r="AD14" s="263"/>
    </row>
    <row r="15" spans="1:39" ht="30" customHeight="1" x14ac:dyDescent="0.15">
      <c r="A15" s="10"/>
      <c r="B15" s="619" t="s">
        <v>43</v>
      </c>
      <c r="C15" s="619"/>
      <c r="D15" s="619"/>
      <c r="E15" s="619"/>
      <c r="F15" s="619"/>
      <c r="G15" s="619"/>
      <c r="H15" s="619"/>
      <c r="I15" s="619"/>
      <c r="J15" s="619"/>
      <c r="K15" s="619"/>
      <c r="L15" s="619"/>
      <c r="M15" s="619"/>
      <c r="N15" s="619"/>
      <c r="O15" s="619"/>
      <c r="P15" s="10"/>
      <c r="S15" s="500">
        <f t="shared" si="0"/>
        <v>44680</v>
      </c>
      <c r="T15" s="528">
        <f>T14+1</f>
        <v>6</v>
      </c>
      <c r="U15" s="503">
        <f>V14+1</f>
        <v>44531</v>
      </c>
      <c r="V15" s="504">
        <f t="shared" si="1"/>
        <v>44651</v>
      </c>
      <c r="W15" s="280" t="str">
        <f t="shared" si="2"/>
        <v>①～④</v>
      </c>
      <c r="X15" s="315"/>
      <c r="Y15" s="537">
        <f>IF(OR(MONTH(U10)=1,MONTH(U10)=9),5,IF(OR(MONTH(U10)=7,MONTH(U10)=11),3,4))</f>
        <v>4</v>
      </c>
      <c r="Z15" s="538"/>
      <c r="AA15" s="540"/>
      <c r="AB15" s="542">
        <f t="shared" si="3"/>
        <v>0</v>
      </c>
    </row>
    <row r="16" spans="1:39" ht="27.75" customHeight="1" thickBot="1" x14ac:dyDescent="0.2">
      <c r="A16" s="178" t="s">
        <v>33</v>
      </c>
      <c r="B16" s="173"/>
      <c r="C16" s="174"/>
      <c r="D16" s="173"/>
      <c r="E16" s="173"/>
      <c r="F16" s="173"/>
      <c r="G16" s="173"/>
      <c r="H16" s="173"/>
      <c r="I16" s="173"/>
      <c r="J16" s="173"/>
      <c r="K16" s="173"/>
      <c r="L16" s="173"/>
      <c r="M16" s="173"/>
      <c r="N16" s="173"/>
      <c r="O16" s="173"/>
      <c r="P16" s="173"/>
      <c r="S16" s="510">
        <f>IF(Y16="","",IF(WEEKDAY(EOMONTH(V16,1),2)=7,EOMONTH(V16,1)-2,IF(WEEKDAY(EOMONTH(V16,1),2)=6,EOMONTH(V16,1)-1,EOMONTH(V16,1)))-AB16)</f>
        <v>44742</v>
      </c>
      <c r="T16" s="529">
        <f>IF(Y16="","",T15+1)</f>
        <v>7</v>
      </c>
      <c r="U16" s="505">
        <f>IF(Y16="","",V15+1)</f>
        <v>44652</v>
      </c>
      <c r="V16" s="506">
        <f>IF(Y16="","",EOMONTH(U16,Y16-1))</f>
        <v>44712</v>
      </c>
      <c r="W16" s="317" t="str">
        <f>IF(Y16="","",VLOOKUP(Y16,$Z$10:$AA$14,2,0))</f>
        <v>①～②</v>
      </c>
      <c r="X16" s="19"/>
      <c r="Y16" s="537">
        <f>IF(OR(MONTH(U10)=2,MONTH(U10)=6,MONTH(U10)=10),2,IF(MONTH(U10)=3,3,IF(MONTH(U10)=5,1,"")))</f>
        <v>2</v>
      </c>
      <c r="Z16" s="538"/>
      <c r="AA16" s="540"/>
      <c r="AB16" s="542">
        <f>IFERROR(IF(MONTH(EOMONTH(V16,1))=12,3,0),"")</f>
        <v>0</v>
      </c>
    </row>
    <row r="17" spans="1:48" ht="26.25" customHeight="1" x14ac:dyDescent="0.15">
      <c r="A17" s="10"/>
      <c r="B17" s="610" t="s">
        <v>258</v>
      </c>
      <c r="C17" s="611"/>
      <c r="D17" s="612"/>
      <c r="E17" s="613"/>
      <c r="F17" s="614"/>
      <c r="G17" s="614"/>
      <c r="H17" s="614"/>
      <c r="I17" s="614"/>
      <c r="J17" s="614"/>
      <c r="K17" s="614"/>
      <c r="L17" s="614"/>
      <c r="M17" s="614"/>
      <c r="N17" s="614"/>
      <c r="O17" s="615"/>
      <c r="P17" s="10"/>
      <c r="X17" s="19"/>
      <c r="AA17" s="545" t="s">
        <v>284</v>
      </c>
    </row>
    <row r="18" spans="1:48" ht="26.25" customHeight="1" thickBot="1" x14ac:dyDescent="0.2">
      <c r="A18" s="10"/>
      <c r="B18" s="577" t="s">
        <v>19</v>
      </c>
      <c r="C18" s="578"/>
      <c r="D18" s="579"/>
      <c r="E18" s="648"/>
      <c r="F18" s="649"/>
      <c r="G18" s="649"/>
      <c r="H18" s="649"/>
      <c r="I18" s="649"/>
      <c r="J18" s="649"/>
      <c r="K18" s="649"/>
      <c r="L18" s="649"/>
      <c r="M18" s="649"/>
      <c r="N18" s="649"/>
      <c r="O18" s="650"/>
      <c r="P18" s="10"/>
      <c r="X18" s="19"/>
      <c r="AA18" s="545" t="s">
        <v>285</v>
      </c>
    </row>
    <row r="19" spans="1:48" ht="21" customHeight="1" thickBot="1" x14ac:dyDescent="0.2">
      <c r="A19" s="165" t="s">
        <v>34</v>
      </c>
      <c r="B19" s="10"/>
      <c r="C19" s="175"/>
      <c r="D19" s="10"/>
      <c r="E19" s="10"/>
      <c r="F19" s="10"/>
      <c r="G19" s="10"/>
      <c r="H19" s="10"/>
      <c r="I19" s="10"/>
      <c r="J19" s="10"/>
      <c r="K19" s="10"/>
      <c r="L19" s="10"/>
      <c r="M19" s="10"/>
      <c r="N19" s="10"/>
      <c r="O19" s="10"/>
      <c r="P19" s="10"/>
      <c r="X19" s="19"/>
      <c r="AA19" s="545" t="s">
        <v>286</v>
      </c>
    </row>
    <row r="20" spans="1:48" s="11" customFormat="1" ht="24" customHeight="1" thickBot="1" x14ac:dyDescent="0.2">
      <c r="A20" s="127"/>
      <c r="B20" s="593" t="s">
        <v>107</v>
      </c>
      <c r="C20" s="581"/>
      <c r="D20" s="594"/>
      <c r="E20" s="580" t="s">
        <v>108</v>
      </c>
      <c r="F20" s="594"/>
      <c r="G20" s="580" t="s">
        <v>109</v>
      </c>
      <c r="H20" s="581"/>
      <c r="I20" s="581"/>
      <c r="J20" s="581"/>
      <c r="K20" s="581"/>
      <c r="L20" s="581"/>
      <c r="M20" s="581"/>
      <c r="N20" s="581"/>
      <c r="O20" s="582"/>
      <c r="P20" s="127"/>
      <c r="Q20" s="19"/>
      <c r="R20" s="19"/>
      <c r="S20" s="19"/>
      <c r="T20" s="19"/>
      <c r="U20" s="19"/>
      <c r="V20" s="19"/>
      <c r="W20" s="19"/>
      <c r="X20" s="19"/>
      <c r="Y20" s="19"/>
      <c r="Z20" s="19"/>
      <c r="AA20" s="546" t="s">
        <v>287</v>
      </c>
      <c r="AB20" s="19"/>
      <c r="AC20" s="19"/>
      <c r="AD20" s="19"/>
      <c r="AE20" s="19"/>
      <c r="AF20" s="19"/>
      <c r="AG20" s="17"/>
      <c r="AH20" s="17"/>
      <c r="AI20" s="17"/>
      <c r="AJ20" s="17"/>
      <c r="AK20" s="17"/>
      <c r="AL20" s="17"/>
      <c r="AM20" s="17"/>
      <c r="AN20" s="17"/>
      <c r="AO20" s="17"/>
      <c r="AP20" s="17"/>
      <c r="AQ20" s="17"/>
      <c r="AR20" s="17"/>
      <c r="AS20" s="17"/>
      <c r="AT20" s="17"/>
      <c r="AU20" s="17"/>
      <c r="AV20" s="17"/>
    </row>
    <row r="21" spans="1:48" ht="29.25" customHeight="1" x14ac:dyDescent="0.15">
      <c r="A21" s="10"/>
      <c r="B21" s="608" t="s">
        <v>44</v>
      </c>
      <c r="C21" s="609"/>
      <c r="D21" s="609"/>
      <c r="E21" s="583">
        <f>IF($J$4="",0,'11号-1'!D55)</f>
        <v>0</v>
      </c>
      <c r="F21" s="583"/>
      <c r="G21" s="617" t="s">
        <v>165</v>
      </c>
      <c r="H21" s="617"/>
      <c r="I21" s="617"/>
      <c r="J21" s="617"/>
      <c r="K21" s="617"/>
      <c r="L21" s="617"/>
      <c r="M21" s="617"/>
      <c r="N21" s="617"/>
      <c r="O21" s="618"/>
      <c r="P21" s="10"/>
    </row>
    <row r="22" spans="1:48" ht="29.25" customHeight="1" x14ac:dyDescent="0.15">
      <c r="A22" s="10"/>
      <c r="B22" s="585" t="s">
        <v>45</v>
      </c>
      <c r="C22" s="586"/>
      <c r="D22" s="586"/>
      <c r="E22" s="584">
        <f>IF($J$4="",0,'11号-1'!D56)</f>
        <v>0</v>
      </c>
      <c r="F22" s="584"/>
      <c r="G22" s="587" t="s">
        <v>110</v>
      </c>
      <c r="H22" s="587"/>
      <c r="I22" s="587"/>
      <c r="J22" s="587"/>
      <c r="K22" s="587"/>
      <c r="L22" s="587"/>
      <c r="M22" s="587"/>
      <c r="N22" s="587"/>
      <c r="O22" s="588"/>
      <c r="P22" s="10"/>
      <c r="Q22" s="17"/>
      <c r="R22" s="17"/>
    </row>
    <row r="23" spans="1:48" ht="29.25" customHeight="1" x14ac:dyDescent="0.15">
      <c r="A23" s="10"/>
      <c r="B23" s="585" t="s">
        <v>46</v>
      </c>
      <c r="C23" s="586"/>
      <c r="D23" s="586"/>
      <c r="E23" s="584">
        <f>IF($J$4="",0,'11号-1'!D57)</f>
        <v>0</v>
      </c>
      <c r="F23" s="584"/>
      <c r="G23" s="587" t="s">
        <v>110</v>
      </c>
      <c r="H23" s="587"/>
      <c r="I23" s="587"/>
      <c r="J23" s="587"/>
      <c r="K23" s="587"/>
      <c r="L23" s="587"/>
      <c r="M23" s="587"/>
      <c r="N23" s="587"/>
      <c r="O23" s="588"/>
      <c r="P23" s="10"/>
      <c r="S23" s="575" t="s">
        <v>171</v>
      </c>
      <c r="T23" s="576"/>
      <c r="U23" s="576"/>
      <c r="V23" s="576"/>
      <c r="W23" s="576"/>
      <c r="X23" s="202"/>
    </row>
    <row r="24" spans="1:48" ht="29.25" customHeight="1" x14ac:dyDescent="0.15">
      <c r="A24" s="10"/>
      <c r="B24" s="589" t="s">
        <v>50</v>
      </c>
      <c r="C24" s="590"/>
      <c r="D24" s="590"/>
      <c r="E24" s="584">
        <f>IF($J$4="",0,'11号-1'!D58)</f>
        <v>0</v>
      </c>
      <c r="F24" s="584"/>
      <c r="G24" s="587"/>
      <c r="H24" s="587"/>
      <c r="I24" s="587"/>
      <c r="J24" s="587"/>
      <c r="K24" s="587"/>
      <c r="L24" s="587"/>
      <c r="M24" s="587"/>
      <c r="N24" s="587"/>
      <c r="O24" s="588"/>
      <c r="P24" s="10"/>
      <c r="S24" s="185" t="s">
        <v>173</v>
      </c>
      <c r="T24" s="186"/>
      <c r="U24" s="187" t="s">
        <v>141</v>
      </c>
      <c r="V24" s="187" t="s">
        <v>142</v>
      </c>
      <c r="W24" s="188" t="s">
        <v>166</v>
      </c>
      <c r="X24" s="184"/>
    </row>
    <row r="25" spans="1:48" ht="29.25" customHeight="1" thickBot="1" x14ac:dyDescent="0.2">
      <c r="A25" s="10"/>
      <c r="B25" s="595" t="s">
        <v>47</v>
      </c>
      <c r="C25" s="596"/>
      <c r="D25" s="596"/>
      <c r="E25" s="605">
        <f>IF($J$4="",0,SUM(E21:F24))</f>
        <v>0</v>
      </c>
      <c r="F25" s="605"/>
      <c r="G25" s="620"/>
      <c r="H25" s="620"/>
      <c r="I25" s="620"/>
      <c r="J25" s="620"/>
      <c r="K25" s="620"/>
      <c r="L25" s="620"/>
      <c r="M25" s="620"/>
      <c r="N25" s="620"/>
      <c r="O25" s="621"/>
      <c r="P25" s="10"/>
      <c r="S25" s="531" t="str">
        <f>IF($J$4="","",$J$4)</f>
        <v/>
      </c>
      <c r="T25" s="246" t="str">
        <f>IF($J$4="","","1ヶ月目")</f>
        <v/>
      </c>
      <c r="U25" s="509" t="str">
        <f>IF($J$4="","",VLOOKUP($S$25,$T$9:$V$20,2,0))</f>
        <v/>
      </c>
      <c r="V25" s="509" t="str">
        <f>IF(U25="","",EOMONTH(U25,0))</f>
        <v/>
      </c>
      <c r="W25" s="264" t="str">
        <f>IF(U25="","","①")</f>
        <v/>
      </c>
      <c r="X25" s="265"/>
    </row>
    <row r="26" spans="1:48" ht="29.25" customHeight="1" x14ac:dyDescent="0.15">
      <c r="A26" s="10"/>
      <c r="B26" s="608" t="s">
        <v>111</v>
      </c>
      <c r="C26" s="609"/>
      <c r="D26" s="609"/>
      <c r="E26" s="583">
        <f>IF($J$4="",0,'11号-1'!D60)</f>
        <v>0</v>
      </c>
      <c r="F26" s="583"/>
      <c r="G26" s="617" t="s">
        <v>110</v>
      </c>
      <c r="H26" s="617"/>
      <c r="I26" s="617"/>
      <c r="J26" s="617"/>
      <c r="K26" s="617"/>
      <c r="L26" s="617"/>
      <c r="M26" s="617"/>
      <c r="N26" s="617"/>
      <c r="O26" s="618"/>
      <c r="P26" s="10"/>
      <c r="S26" s="189"/>
      <c r="T26" s="246" t="str">
        <f>IF(U26="","","2ヶ月目")</f>
        <v/>
      </c>
      <c r="U26" s="509" t="str">
        <f t="shared" ref="U26:U36" si="5">IF(V25="","",IF(V25=VLOOKUP($S$25,$T$10:$V$20,3,0),"",V25+1))</f>
        <v/>
      </c>
      <c r="V26" s="509" t="str">
        <f t="shared" ref="V26:V36" si="6">IF(U26="","",EOMONTH(U26,0))</f>
        <v/>
      </c>
      <c r="W26" s="264" t="str">
        <f>IF(U26="","","②")</f>
        <v/>
      </c>
      <c r="X26" s="265"/>
    </row>
    <row r="27" spans="1:48" ht="29.25" customHeight="1" thickBot="1" x14ac:dyDescent="0.2">
      <c r="A27" s="10"/>
      <c r="B27" s="622" t="s">
        <v>49</v>
      </c>
      <c r="C27" s="596"/>
      <c r="D27" s="596"/>
      <c r="E27" s="605">
        <f>IF($J$4="",0,'11号-1'!D61)</f>
        <v>0</v>
      </c>
      <c r="F27" s="605"/>
      <c r="G27" s="620" t="s">
        <v>110</v>
      </c>
      <c r="H27" s="620"/>
      <c r="I27" s="620"/>
      <c r="J27" s="620"/>
      <c r="K27" s="620"/>
      <c r="L27" s="620"/>
      <c r="M27" s="620"/>
      <c r="N27" s="620"/>
      <c r="O27" s="621"/>
      <c r="P27" s="10"/>
      <c r="S27" s="189"/>
      <c r="T27" s="246" t="str">
        <f>IF(U27="","","3ヶ月目")</f>
        <v/>
      </c>
      <c r="U27" s="509" t="str">
        <f t="shared" si="5"/>
        <v/>
      </c>
      <c r="V27" s="509" t="str">
        <f t="shared" si="6"/>
        <v/>
      </c>
      <c r="W27" s="264" t="str">
        <f>IF(U27="","","③")</f>
        <v/>
      </c>
      <c r="X27" s="265"/>
    </row>
    <row r="28" spans="1:48" ht="29.25" customHeight="1" thickBot="1" x14ac:dyDescent="0.2">
      <c r="A28" s="10"/>
      <c r="B28" s="593" t="s">
        <v>48</v>
      </c>
      <c r="C28" s="581"/>
      <c r="D28" s="594"/>
      <c r="E28" s="600">
        <f>E25+E26+E27</f>
        <v>0</v>
      </c>
      <c r="F28" s="601"/>
      <c r="G28" s="634"/>
      <c r="H28" s="635"/>
      <c r="I28" s="635"/>
      <c r="J28" s="635"/>
      <c r="K28" s="635"/>
      <c r="L28" s="635"/>
      <c r="M28" s="635"/>
      <c r="N28" s="635"/>
      <c r="O28" s="636"/>
      <c r="P28" s="10"/>
      <c r="S28" s="189"/>
      <c r="T28" s="246" t="str">
        <f>IF(U28="","","4ヶ月目")</f>
        <v/>
      </c>
      <c r="U28" s="509" t="str">
        <f t="shared" si="5"/>
        <v/>
      </c>
      <c r="V28" s="509" t="str">
        <f t="shared" si="6"/>
        <v/>
      </c>
      <c r="W28" s="264" t="str">
        <f>IF(U28="","","④")</f>
        <v/>
      </c>
      <c r="X28" s="266"/>
    </row>
    <row r="29" spans="1:48" ht="28.5" customHeight="1" x14ac:dyDescent="0.15">
      <c r="A29" s="10"/>
      <c r="B29" s="76" t="str">
        <f>"※　各区分の助成対象経費の額は、様式研第11号の「第 "&amp;J4&amp;" の計」の各区分の額と一致する"</f>
        <v>※　各区分の助成対象経費の額は、様式研第11号の「第  の計」の各区分の額と一致する</v>
      </c>
      <c r="C29" s="77"/>
      <c r="D29" s="77"/>
      <c r="E29" s="78"/>
      <c r="F29" s="78"/>
      <c r="G29" s="79"/>
      <c r="H29" s="79"/>
      <c r="I29" s="79"/>
      <c r="J29" s="79"/>
      <c r="K29" s="79"/>
      <c r="L29" s="79"/>
      <c r="M29" s="79"/>
      <c r="N29" s="79"/>
      <c r="O29" s="79"/>
      <c r="P29" s="10"/>
      <c r="Q29" s="182"/>
      <c r="R29" s="182"/>
      <c r="S29" s="303"/>
      <c r="T29" s="304" t="str">
        <f>IF(U29="","","5ヶ月目")</f>
        <v/>
      </c>
      <c r="U29" s="536" t="str">
        <f t="shared" si="5"/>
        <v/>
      </c>
      <c r="V29" s="536" t="str">
        <f t="shared" si="6"/>
        <v/>
      </c>
      <c r="W29" s="305" t="str">
        <f>IF(U29="","","⑤")</f>
        <v/>
      </c>
      <c r="X29" s="265"/>
      <c r="AA29" s="182"/>
    </row>
    <row r="30" spans="1:48" ht="21" customHeight="1" x14ac:dyDescent="0.15">
      <c r="A30" s="165" t="s">
        <v>149</v>
      </c>
      <c r="B30" s="161"/>
      <c r="C30" s="175"/>
      <c r="D30" s="10"/>
      <c r="E30" s="10"/>
      <c r="F30" s="10"/>
      <c r="G30" s="10"/>
      <c r="H30" s="10"/>
      <c r="I30" s="10"/>
      <c r="J30" s="10"/>
      <c r="K30" s="10"/>
      <c r="L30" s="10"/>
      <c r="M30" s="10"/>
      <c r="N30" s="10"/>
      <c r="O30" s="10"/>
      <c r="P30" s="10"/>
      <c r="Q30" s="182"/>
      <c r="R30" s="182"/>
      <c r="S30" s="303"/>
      <c r="T30" s="306" t="str">
        <f>IF(U30="","","6ヶ月目")</f>
        <v/>
      </c>
      <c r="U30" s="307" t="str">
        <f t="shared" si="5"/>
        <v/>
      </c>
      <c r="V30" s="307" t="str">
        <f t="shared" si="6"/>
        <v/>
      </c>
      <c r="W30" s="308" t="str">
        <f>IF(U30="","","⑥")</f>
        <v/>
      </c>
      <c r="X30" s="265"/>
      <c r="Y30" s="309"/>
      <c r="Z30" s="182"/>
      <c r="AA30" s="182"/>
    </row>
    <row r="31" spans="1:48" ht="6" customHeight="1" x14ac:dyDescent="0.15">
      <c r="A31" s="10"/>
      <c r="B31" s="170"/>
      <c r="C31" s="175"/>
      <c r="D31" s="10"/>
      <c r="E31" s="10"/>
      <c r="F31" s="10"/>
      <c r="G31" s="10"/>
      <c r="H31" s="10"/>
      <c r="I31" s="10"/>
      <c r="J31" s="10"/>
      <c r="K31" s="10"/>
      <c r="L31" s="10"/>
      <c r="M31" s="10"/>
      <c r="N31" s="10"/>
      <c r="O31" s="10"/>
      <c r="P31" s="10"/>
      <c r="Q31" s="182"/>
      <c r="R31" s="182"/>
      <c r="S31" s="303"/>
      <c r="T31" s="306" t="str">
        <f>IF(U31="","","7ヶ月目")</f>
        <v/>
      </c>
      <c r="U31" s="307" t="str">
        <f t="shared" si="5"/>
        <v/>
      </c>
      <c r="V31" s="307" t="str">
        <f t="shared" si="6"/>
        <v/>
      </c>
      <c r="W31" s="308" t="str">
        <f>IF(U31="","","⑦")</f>
        <v/>
      </c>
      <c r="X31" s="265"/>
      <c r="Y31" s="309"/>
      <c r="Z31" s="182"/>
      <c r="AA31" s="182"/>
    </row>
    <row r="32" spans="1:48" ht="15" customHeight="1" x14ac:dyDescent="0.15">
      <c r="A32" s="10"/>
      <c r="B32" s="161"/>
      <c r="C32" s="591" t="s">
        <v>35</v>
      </c>
      <c r="D32" s="592"/>
      <c r="E32" s="597" t="str">
        <f>PHONETIC(E33)</f>
        <v/>
      </c>
      <c r="F32" s="598"/>
      <c r="G32" s="598"/>
      <c r="H32" s="598"/>
      <c r="I32" s="598"/>
      <c r="J32" s="598"/>
      <c r="K32" s="598"/>
      <c r="L32" s="598"/>
      <c r="M32" s="598"/>
      <c r="N32" s="599"/>
      <c r="O32" s="10"/>
      <c r="P32" s="10"/>
      <c r="Q32" s="182"/>
      <c r="R32" s="182"/>
      <c r="S32" s="303"/>
      <c r="T32" s="306" t="str">
        <f>IF(U32="","","8ヶ月目")</f>
        <v/>
      </c>
      <c r="U32" s="307" t="str">
        <f t="shared" si="5"/>
        <v/>
      </c>
      <c r="V32" s="307" t="str">
        <f t="shared" si="6"/>
        <v/>
      </c>
      <c r="W32" s="308" t="str">
        <f>IF(U32="","","⑧")</f>
        <v/>
      </c>
      <c r="X32" s="265"/>
      <c r="Y32" s="309"/>
      <c r="Z32" s="182"/>
      <c r="AA32" s="182"/>
    </row>
    <row r="33" spans="1:27" ht="28.5" customHeight="1" x14ac:dyDescent="0.15">
      <c r="A33" s="10"/>
      <c r="B33" s="161"/>
      <c r="C33" s="626" t="s">
        <v>36</v>
      </c>
      <c r="D33" s="627"/>
      <c r="E33" s="623"/>
      <c r="F33" s="624"/>
      <c r="G33" s="624"/>
      <c r="H33" s="624"/>
      <c r="I33" s="624"/>
      <c r="J33" s="624"/>
      <c r="K33" s="624"/>
      <c r="L33" s="624"/>
      <c r="M33" s="624"/>
      <c r="N33" s="625"/>
      <c r="O33" s="10"/>
      <c r="P33" s="10"/>
      <c r="Q33" s="182"/>
      <c r="R33" s="182"/>
      <c r="S33" s="303"/>
      <c r="T33" s="306" t="str">
        <f>IF(U33="","","9ヶ月目")</f>
        <v/>
      </c>
      <c r="U33" s="307" t="str">
        <f t="shared" si="5"/>
        <v/>
      </c>
      <c r="V33" s="307" t="str">
        <f t="shared" si="6"/>
        <v/>
      </c>
      <c r="W33" s="308" t="str">
        <f>IF(U33="","","⑨")</f>
        <v/>
      </c>
      <c r="X33" s="265"/>
      <c r="Y33" s="309"/>
      <c r="Z33" s="182"/>
      <c r="AA33" s="182"/>
    </row>
    <row r="34" spans="1:27" ht="15" customHeight="1" x14ac:dyDescent="0.15">
      <c r="A34" s="10"/>
      <c r="B34" s="161"/>
      <c r="C34" s="632" t="s">
        <v>37</v>
      </c>
      <c r="D34" s="633"/>
      <c r="E34" s="640"/>
      <c r="F34" s="645" t="s">
        <v>35</v>
      </c>
      <c r="G34" s="646"/>
      <c r="H34" s="647"/>
      <c r="I34" s="597" t="str">
        <f>PHONETIC(I35)</f>
        <v/>
      </c>
      <c r="J34" s="598"/>
      <c r="K34" s="598"/>
      <c r="L34" s="598"/>
      <c r="M34" s="598"/>
      <c r="N34" s="599"/>
      <c r="O34" s="10"/>
      <c r="P34" s="10"/>
      <c r="Q34" s="182"/>
      <c r="R34" s="182"/>
      <c r="S34" s="303"/>
      <c r="T34" s="306" t="str">
        <f>IF(U34="","","10ヶ月目")</f>
        <v/>
      </c>
      <c r="U34" s="307" t="str">
        <f t="shared" si="5"/>
        <v/>
      </c>
      <c r="V34" s="307" t="str">
        <f t="shared" si="6"/>
        <v/>
      </c>
      <c r="W34" s="308" t="str">
        <f>IF(U34="","","⑩")</f>
        <v/>
      </c>
      <c r="X34" s="265"/>
      <c r="Y34" s="309"/>
      <c r="Z34" s="182"/>
      <c r="AA34" s="182"/>
    </row>
    <row r="35" spans="1:27" ht="28.5" customHeight="1" x14ac:dyDescent="0.15">
      <c r="A35" s="10"/>
      <c r="B35" s="161"/>
      <c r="C35" s="626"/>
      <c r="D35" s="627"/>
      <c r="E35" s="641"/>
      <c r="F35" s="642" t="s">
        <v>38</v>
      </c>
      <c r="G35" s="643"/>
      <c r="H35" s="644"/>
      <c r="I35" s="623"/>
      <c r="J35" s="624"/>
      <c r="K35" s="624"/>
      <c r="L35" s="624"/>
      <c r="M35" s="624"/>
      <c r="N35" s="625"/>
      <c r="O35" s="10"/>
      <c r="P35" s="10"/>
      <c r="Q35" s="182"/>
      <c r="R35" s="182"/>
      <c r="S35" s="303"/>
      <c r="T35" s="306" t="str">
        <f>IF(U35="","","11ヶ月目")</f>
        <v/>
      </c>
      <c r="U35" s="307" t="str">
        <f t="shared" si="5"/>
        <v/>
      </c>
      <c r="V35" s="307" t="str">
        <f t="shared" si="6"/>
        <v/>
      </c>
      <c r="W35" s="308" t="str">
        <f>IF(U35="","","⑪")</f>
        <v/>
      </c>
      <c r="X35" s="265"/>
      <c r="Y35" s="309"/>
      <c r="Z35" s="182"/>
      <c r="AA35" s="182"/>
    </row>
    <row r="36" spans="1:27" ht="30.75" customHeight="1" x14ac:dyDescent="0.15">
      <c r="A36" s="10"/>
      <c r="B36" s="161"/>
      <c r="C36" s="631" t="s">
        <v>106</v>
      </c>
      <c r="D36" s="630"/>
      <c r="E36" s="262"/>
      <c r="F36" s="628" t="s">
        <v>39</v>
      </c>
      <c r="G36" s="629"/>
      <c r="H36" s="630"/>
      <c r="I36" s="602"/>
      <c r="J36" s="603"/>
      <c r="K36" s="603"/>
      <c r="L36" s="603"/>
      <c r="M36" s="603"/>
      <c r="N36" s="604"/>
      <c r="O36" s="10"/>
      <c r="P36" s="10"/>
      <c r="Q36" s="182"/>
      <c r="R36" s="182"/>
      <c r="S36" s="303"/>
      <c r="T36" s="306" t="str">
        <f>IF(U36="","","12ヶ月目")</f>
        <v/>
      </c>
      <c r="U36" s="307" t="str">
        <f t="shared" si="5"/>
        <v/>
      </c>
      <c r="V36" s="307" t="str">
        <f t="shared" si="6"/>
        <v/>
      </c>
      <c r="W36" s="308" t="str">
        <f>IF(U36="","","⑫")</f>
        <v/>
      </c>
      <c r="X36" s="265"/>
      <c r="Y36" s="309"/>
      <c r="Z36" s="182"/>
      <c r="AA36" s="182"/>
    </row>
    <row r="37" spans="1:27" ht="15" customHeight="1" x14ac:dyDescent="0.15">
      <c r="A37" s="10"/>
      <c r="B37" s="161"/>
      <c r="C37" s="591" t="s">
        <v>35</v>
      </c>
      <c r="D37" s="592"/>
      <c r="E37" s="597" t="str">
        <f>PHONETIC(E38)</f>
        <v/>
      </c>
      <c r="F37" s="598"/>
      <c r="G37" s="598"/>
      <c r="H37" s="598"/>
      <c r="I37" s="598"/>
      <c r="J37" s="598"/>
      <c r="K37" s="598"/>
      <c r="L37" s="598"/>
      <c r="M37" s="598"/>
      <c r="N37" s="599"/>
      <c r="O37" s="10"/>
      <c r="P37" s="10"/>
      <c r="Q37" s="182"/>
      <c r="R37" s="182"/>
      <c r="S37" s="182"/>
      <c r="T37" s="182"/>
      <c r="U37" s="182"/>
      <c r="V37" s="182"/>
      <c r="W37" s="182"/>
      <c r="Y37" s="182"/>
      <c r="Z37" s="182"/>
      <c r="AA37" s="182"/>
    </row>
    <row r="38" spans="1:27" ht="28.5" customHeight="1" x14ac:dyDescent="0.15">
      <c r="A38" s="10"/>
      <c r="B38" s="161"/>
      <c r="C38" s="626" t="s">
        <v>40</v>
      </c>
      <c r="D38" s="627"/>
      <c r="E38" s="623"/>
      <c r="F38" s="624"/>
      <c r="G38" s="624"/>
      <c r="H38" s="624"/>
      <c r="I38" s="624"/>
      <c r="J38" s="624"/>
      <c r="K38" s="624"/>
      <c r="L38" s="624"/>
      <c r="M38" s="624"/>
      <c r="N38" s="625"/>
      <c r="O38" s="10"/>
      <c r="P38" s="10"/>
      <c r="S38" s="182"/>
      <c r="T38" s="182"/>
      <c r="U38" s="182"/>
    </row>
    <row r="39" spans="1:27" ht="5.25" customHeight="1" x14ac:dyDescent="0.15">
      <c r="A39" s="10"/>
      <c r="B39" s="161"/>
      <c r="C39" s="176"/>
      <c r="D39" s="176"/>
      <c r="E39" s="10"/>
      <c r="F39" s="10"/>
      <c r="G39" s="10"/>
      <c r="H39" s="10"/>
      <c r="I39" s="10"/>
      <c r="J39" s="10"/>
      <c r="K39" s="10"/>
      <c r="L39" s="10"/>
      <c r="M39" s="10"/>
      <c r="N39" s="10"/>
      <c r="O39" s="10"/>
      <c r="P39" s="10"/>
      <c r="S39" s="182"/>
      <c r="T39" s="181"/>
      <c r="U39" s="182"/>
    </row>
    <row r="40" spans="1:27" ht="13.5" customHeight="1" x14ac:dyDescent="0.15">
      <c r="A40" s="10"/>
      <c r="B40" s="177" t="s">
        <v>152</v>
      </c>
      <c r="C40" s="924" t="s">
        <v>153</v>
      </c>
      <c r="D40" s="925"/>
      <c r="E40" s="926"/>
      <c r="F40" s="926"/>
      <c r="G40" s="926"/>
      <c r="H40" s="926"/>
      <c r="I40" s="926"/>
      <c r="J40" s="926"/>
      <c r="K40" s="926"/>
      <c r="L40" s="926"/>
      <c r="M40" s="926"/>
      <c r="N40" s="926"/>
      <c r="O40" s="10"/>
      <c r="P40" s="10"/>
      <c r="S40" s="182"/>
      <c r="T40" s="181"/>
      <c r="U40" s="182"/>
    </row>
    <row r="41" spans="1:27" ht="24.95" customHeight="1" x14ac:dyDescent="0.15">
      <c r="A41" s="10"/>
      <c r="B41" s="10"/>
      <c r="C41" s="927" t="s">
        <v>310</v>
      </c>
      <c r="D41" s="928"/>
      <c r="E41" s="928"/>
      <c r="F41" s="928"/>
      <c r="G41" s="928"/>
      <c r="H41" s="928"/>
      <c r="I41" s="928"/>
      <c r="J41" s="928"/>
      <c r="K41" s="928"/>
      <c r="L41" s="928"/>
      <c r="M41" s="928"/>
      <c r="N41" s="928"/>
      <c r="O41" s="10"/>
      <c r="P41" s="10"/>
      <c r="T41" s="181"/>
    </row>
    <row r="42" spans="1:27" ht="18.75" x14ac:dyDescent="0.15">
      <c r="A42" s="10"/>
      <c r="B42" s="10"/>
      <c r="C42" s="929" t="s">
        <v>311</v>
      </c>
      <c r="D42" s="925"/>
      <c r="E42" s="926"/>
      <c r="F42" s="926"/>
      <c r="G42" s="926"/>
      <c r="H42" s="926"/>
      <c r="I42" s="926"/>
      <c r="J42" s="926"/>
      <c r="K42" s="926"/>
      <c r="L42" s="926"/>
      <c r="M42" s="926"/>
      <c r="N42" s="926"/>
      <c r="O42" s="10"/>
      <c r="P42" s="10"/>
      <c r="T42" s="181"/>
    </row>
    <row r="43" spans="1:27" ht="18.75" x14ac:dyDescent="0.15">
      <c r="A43" s="10"/>
      <c r="B43" s="10"/>
      <c r="C43" s="929" t="s">
        <v>312</v>
      </c>
      <c r="D43" s="925"/>
      <c r="E43" s="926"/>
      <c r="F43" s="926"/>
      <c r="G43" s="926"/>
      <c r="H43" s="926"/>
      <c r="I43" s="926"/>
      <c r="J43" s="926"/>
      <c r="K43" s="926"/>
      <c r="L43" s="926"/>
      <c r="M43" s="926"/>
      <c r="N43" s="926"/>
      <c r="O43" s="10"/>
      <c r="P43" s="10"/>
      <c r="T43" s="181"/>
    </row>
    <row r="44" spans="1:27" ht="18.75" x14ac:dyDescent="0.15">
      <c r="A44" s="10"/>
      <c r="B44" s="10"/>
      <c r="C44" s="499"/>
      <c r="D44" s="176"/>
      <c r="E44" s="10"/>
      <c r="F44" s="10"/>
      <c r="G44" s="10"/>
      <c r="H44" s="10"/>
      <c r="I44" s="10"/>
      <c r="J44" s="10"/>
      <c r="K44" s="10"/>
      <c r="L44" s="10"/>
      <c r="M44" s="10"/>
      <c r="N44" s="10"/>
      <c r="O44" s="10"/>
      <c r="P44" s="10"/>
      <c r="T44" s="181"/>
    </row>
    <row r="45" spans="1:27" ht="13.5" customHeight="1" x14ac:dyDescent="0.15">
      <c r="T45" s="181"/>
    </row>
    <row r="46" spans="1:27" ht="13.5" customHeight="1" x14ac:dyDescent="0.15">
      <c r="T46" s="181"/>
    </row>
  </sheetData>
  <sheetProtection algorithmName="SHA-512" hashValue="O8nRa5zhTz1uuLoZcrgJX5wfbje1zyiPDi4mf4yYW3j7w21KHftdppnbDqwH9q1L2OK3xuUK0ykLb2kFJv9UAg==" saltValue="SZB79wZgesGk/Joj1emLPg==" spinCount="100000" sheet="1" objects="1" scenarios="1" selectLockedCells="1"/>
  <mergeCells count="59">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 ref="C38:D38"/>
    <mergeCell ref="F36:H36"/>
    <mergeCell ref="I34:N34"/>
    <mergeCell ref="C37:D37"/>
    <mergeCell ref="C36:D36"/>
    <mergeCell ref="I35:N35"/>
    <mergeCell ref="E38:N38"/>
    <mergeCell ref="C34:D35"/>
    <mergeCell ref="G27:O27"/>
    <mergeCell ref="B27:D27"/>
    <mergeCell ref="E33:N33"/>
    <mergeCell ref="B26:D26"/>
    <mergeCell ref="E32:N32"/>
    <mergeCell ref="C33:D33"/>
    <mergeCell ref="B1:D1"/>
    <mergeCell ref="G6:I6"/>
    <mergeCell ref="B20:D20"/>
    <mergeCell ref="B21:D21"/>
    <mergeCell ref="B22:D22"/>
    <mergeCell ref="B17:D17"/>
    <mergeCell ref="E20:F20"/>
    <mergeCell ref="G22:O22"/>
    <mergeCell ref="E17:O17"/>
    <mergeCell ref="G10:O10"/>
    <mergeCell ref="G21:O21"/>
    <mergeCell ref="E22:F22"/>
    <mergeCell ref="B15:O15"/>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s>
  <phoneticPr fontId="2"/>
  <conditionalFormatting sqref="T29">
    <cfRule type="expression" dxfId="13" priority="5">
      <formula>$U$29&lt;&gt;""</formula>
    </cfRule>
  </conditionalFormatting>
  <conditionalFormatting sqref="S29">
    <cfRule type="expression" dxfId="12" priority="4">
      <formula>$U$29&lt;&gt;""</formula>
    </cfRule>
  </conditionalFormatting>
  <conditionalFormatting sqref="U29">
    <cfRule type="expression" dxfId="11" priority="3">
      <formula>$U$29&lt;&gt;""</formula>
    </cfRule>
  </conditionalFormatting>
  <conditionalFormatting sqref="V29">
    <cfRule type="expression" dxfId="10" priority="2">
      <formula>$U$29&lt;&gt;""</formula>
    </cfRule>
  </conditionalFormatting>
  <conditionalFormatting sqref="W29">
    <cfRule type="expression" dxfId="9"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89"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70" zoomScaleNormal="70" zoomScaleSheetLayoutView="70" workbookViewId="0">
      <selection activeCell="B1" sqref="B1"/>
    </sheetView>
  </sheetViews>
  <sheetFormatPr defaultRowHeight="22.5" x14ac:dyDescent="0.3"/>
  <cols>
    <col min="1" max="1" width="15.125" style="241" customWidth="1"/>
    <col min="2" max="2" width="21.625" style="203" customWidth="1"/>
    <col min="3" max="3" width="8.5" style="203" customWidth="1"/>
    <col min="4" max="4" width="30.625" style="242" customWidth="1"/>
    <col min="5" max="5" width="3.625" style="243" customWidth="1"/>
    <col min="6" max="7" width="11.625" style="203" customWidth="1"/>
    <col min="8" max="8" width="6.625" style="203" customWidth="1"/>
    <col min="9" max="10" width="8.625" style="203" customWidth="1"/>
    <col min="11" max="11" width="9" style="276" customWidth="1"/>
    <col min="12" max="12" width="10.5" style="270" hidden="1" customWidth="1"/>
    <col min="13" max="13" width="12.5" style="270" hidden="1" customWidth="1"/>
    <col min="14" max="14" width="6.375" style="354" hidden="1" customWidth="1"/>
    <col min="15" max="15" width="9.25" style="355" hidden="1" customWidth="1"/>
    <col min="16" max="16" width="10.25" style="366" hidden="1" customWidth="1"/>
    <col min="17" max="17" width="9" style="367" hidden="1" customWidth="1"/>
    <col min="18" max="18" width="8.625" style="270" hidden="1" customWidth="1"/>
    <col min="19" max="19" width="6" style="270" hidden="1" customWidth="1"/>
    <col min="20" max="20" width="4.625" style="270" hidden="1" customWidth="1"/>
    <col min="21" max="22" width="9" style="271" customWidth="1"/>
    <col min="23" max="24" width="9" style="271"/>
    <col min="25" max="16384" width="9" style="12"/>
  </cols>
  <sheetData>
    <row r="1" spans="1:24" ht="56.25" customHeight="1" thickBot="1" x14ac:dyDescent="0.3">
      <c r="A1" s="148"/>
      <c r="B1" s="102"/>
      <c r="C1" s="102"/>
      <c r="D1" s="103"/>
      <c r="E1" s="157"/>
      <c r="F1" s="102"/>
      <c r="G1" s="102"/>
      <c r="H1" s="102"/>
      <c r="I1" s="102"/>
      <c r="J1" s="102"/>
      <c r="P1" s="356"/>
      <c r="Q1" s="357"/>
    </row>
    <row r="2" spans="1:24" ht="27" customHeight="1" thickTop="1" thickBot="1" x14ac:dyDescent="0.35">
      <c r="A2" s="101"/>
      <c r="B2" s="102"/>
      <c r="C2" s="102"/>
      <c r="D2" s="103"/>
      <c r="E2" s="157"/>
      <c r="F2" s="104"/>
      <c r="G2" s="104"/>
      <c r="H2" s="104"/>
      <c r="I2" s="104"/>
      <c r="J2" s="105" t="str">
        <f>'10号'!L3</f>
        <v>〈令和２年度第１回〉</v>
      </c>
      <c r="L2" s="423">
        <f>EOMONTH('10号'!$U$10,13)</f>
        <v>44408</v>
      </c>
      <c r="M2" s="358" t="s">
        <v>224</v>
      </c>
      <c r="N2" s="359"/>
      <c r="O2" s="360"/>
      <c r="P2" s="361"/>
      <c r="Q2" s="362"/>
      <c r="R2" s="320"/>
      <c r="S2" s="320"/>
      <c r="T2" s="321"/>
    </row>
    <row r="3" spans="1:24" ht="24.75" thickTop="1" x14ac:dyDescent="0.35">
      <c r="A3" s="106" t="s">
        <v>129</v>
      </c>
      <c r="B3" s="102"/>
      <c r="C3" s="102"/>
      <c r="D3" s="103"/>
      <c r="E3" s="157"/>
      <c r="F3" s="107"/>
      <c r="G3" s="107"/>
      <c r="H3" s="107"/>
      <c r="I3" s="107"/>
      <c r="J3" s="107"/>
      <c r="L3" s="363"/>
      <c r="M3" s="363"/>
      <c r="N3" s="364"/>
      <c r="O3" s="365"/>
    </row>
    <row r="4" spans="1:24" ht="24" x14ac:dyDescent="0.3">
      <c r="A4" s="108" t="str">
        <f>"農の雇用事業助成金交付申請書（内訳） （ 第 "&amp;'10号'!$J$4&amp;" 回 ）"</f>
        <v>農の雇用事業助成金交付申請書（内訳） （ 第  回 ）</v>
      </c>
      <c r="B4" s="109"/>
      <c r="C4" s="109"/>
      <c r="D4" s="267"/>
      <c r="E4" s="158"/>
      <c r="F4" s="109"/>
      <c r="G4" s="109"/>
      <c r="H4" s="109"/>
      <c r="I4" s="109"/>
      <c r="J4" s="109"/>
    </row>
    <row r="5" spans="1:24" s="14" customFormat="1" ht="24" x14ac:dyDescent="0.35">
      <c r="A5" s="110"/>
      <c r="B5" s="111" t="s">
        <v>17</v>
      </c>
      <c r="C5" s="695" t="str">
        <f>IF('10号'!$G$10="","",'10号'!$G$10)</f>
        <v/>
      </c>
      <c r="D5" s="695"/>
      <c r="E5" s="695"/>
      <c r="F5" s="695"/>
      <c r="G5" s="695"/>
      <c r="H5" s="695"/>
      <c r="I5" s="695"/>
      <c r="J5" s="695"/>
      <c r="K5" s="277"/>
      <c r="L5" s="272"/>
      <c r="M5" s="272"/>
      <c r="N5" s="368"/>
      <c r="O5" s="369"/>
      <c r="P5" s="370"/>
      <c r="Q5" s="371"/>
      <c r="R5" s="272"/>
      <c r="S5" s="272"/>
      <c r="T5" s="272"/>
      <c r="U5" s="273"/>
      <c r="V5" s="273"/>
      <c r="W5" s="273"/>
      <c r="X5" s="273"/>
    </row>
    <row r="6" spans="1:24" s="14" customFormat="1" ht="24" x14ac:dyDescent="0.35">
      <c r="A6" s="110"/>
      <c r="B6" s="111" t="s">
        <v>15</v>
      </c>
      <c r="C6" s="695" t="str">
        <f>IF('10号'!$E$18="","",'10号'!$E$18)</f>
        <v/>
      </c>
      <c r="D6" s="695"/>
      <c r="E6" s="695"/>
      <c r="F6" s="695"/>
      <c r="G6" s="695"/>
      <c r="H6" s="695"/>
      <c r="I6" s="695"/>
      <c r="J6" s="695"/>
      <c r="K6" s="277"/>
      <c r="L6" s="372"/>
      <c r="M6" s="372"/>
      <c r="N6" s="368"/>
      <c r="O6" s="369"/>
      <c r="P6" s="370"/>
      <c r="Q6" s="371"/>
      <c r="R6" s="272"/>
      <c r="S6" s="272"/>
      <c r="T6" s="272"/>
      <c r="U6" s="273"/>
      <c r="V6" s="273"/>
      <c r="W6" s="273"/>
      <c r="X6" s="273"/>
    </row>
    <row r="7" spans="1:24" ht="6" hidden="1" customHeight="1" x14ac:dyDescent="0.3">
      <c r="A7" s="101"/>
      <c r="B7" s="112"/>
      <c r="C7" s="699"/>
      <c r="D7" s="699"/>
      <c r="E7" s="159"/>
      <c r="F7" s="698"/>
      <c r="G7" s="698"/>
      <c r="H7" s="268"/>
      <c r="I7" s="334"/>
      <c r="J7" s="102"/>
      <c r="K7" s="278"/>
    </row>
    <row r="8" spans="1:24" ht="6.75" customHeight="1" thickBot="1" x14ac:dyDescent="0.35">
      <c r="A8" s="101"/>
      <c r="B8" s="113"/>
      <c r="C8" s="113"/>
      <c r="D8" s="103"/>
      <c r="E8" s="157"/>
      <c r="F8" s="102"/>
      <c r="G8" s="102"/>
      <c r="H8" s="102"/>
      <c r="I8" s="102"/>
      <c r="J8" s="140"/>
    </row>
    <row r="9" spans="1:24" ht="29.25" customHeight="1" thickBot="1" x14ac:dyDescent="0.3">
      <c r="A9" s="114"/>
      <c r="B9" s="701" t="s">
        <v>29</v>
      </c>
      <c r="C9" s="702"/>
      <c r="D9" s="696" t="s">
        <v>28</v>
      </c>
      <c r="E9" s="697"/>
      <c r="F9" s="701" t="s">
        <v>150</v>
      </c>
      <c r="G9" s="703"/>
      <c r="H9" s="703"/>
      <c r="I9" s="703"/>
      <c r="J9" s="704"/>
      <c r="L9" s="415" t="s">
        <v>226</v>
      </c>
      <c r="M9" s="416" t="s">
        <v>172</v>
      </c>
      <c r="N9" s="417" t="s">
        <v>192</v>
      </c>
      <c r="O9" s="418" t="s">
        <v>193</v>
      </c>
      <c r="P9" s="419" t="s">
        <v>199</v>
      </c>
      <c r="Q9" s="420" t="s">
        <v>200</v>
      </c>
      <c r="R9" s="420" t="s">
        <v>201</v>
      </c>
      <c r="S9" s="421"/>
      <c r="T9" s="422" t="s">
        <v>227</v>
      </c>
    </row>
    <row r="10" spans="1:24" ht="21" customHeight="1" x14ac:dyDescent="0.3">
      <c r="A10" s="114"/>
      <c r="B10" s="115" t="s">
        <v>1</v>
      </c>
      <c r="C10" s="116"/>
      <c r="D10" s="687">
        <f>IF($A$14="",0,O10)</f>
        <v>0</v>
      </c>
      <c r="E10" s="688"/>
      <c r="F10" s="115" t="s">
        <v>130</v>
      </c>
      <c r="G10" s="117"/>
      <c r="H10" s="117"/>
      <c r="I10" s="117"/>
      <c r="J10" s="118"/>
      <c r="L10" s="373"/>
      <c r="M10" s="323"/>
      <c r="N10" s="353"/>
      <c r="O10" s="374" t="str">
        <f>①!$M$162</f>
        <v/>
      </c>
      <c r="P10" s="424"/>
      <c r="Q10" s="425" t="s">
        <v>232</v>
      </c>
      <c r="R10" s="323"/>
      <c r="S10" s="323"/>
      <c r="T10" s="326"/>
    </row>
    <row r="11" spans="1:24" ht="21" customHeight="1" x14ac:dyDescent="0.3">
      <c r="A11" s="119"/>
      <c r="B11" s="120" t="s">
        <v>4</v>
      </c>
      <c r="C11" s="121"/>
      <c r="D11" s="672">
        <f>IF(OR($A$14="",D10=$L$14),0,IF(O11+SUM($D$10:D10)&gt;=$L$14,$L$14-SUM($D$10:D10),O11))</f>
        <v>0</v>
      </c>
      <c r="E11" s="673"/>
      <c r="F11" s="120" t="s">
        <v>131</v>
      </c>
      <c r="G11" s="122"/>
      <c r="H11" s="122"/>
      <c r="I11" s="122"/>
      <c r="J11" s="123"/>
      <c r="L11" s="375">
        <f>IF($D10&gt;D14,0,IF($D10+D11&lt;D14,D11,D14-$D10))</f>
        <v>0</v>
      </c>
      <c r="M11" s="323"/>
      <c r="N11" s="353"/>
      <c r="O11" s="376">
        <f>'11号-3'!$Q$11</f>
        <v>0</v>
      </c>
      <c r="P11" s="377"/>
      <c r="R11" s="323"/>
      <c r="S11" s="323"/>
      <c r="T11" s="326"/>
    </row>
    <row r="12" spans="1:24" ht="21" customHeight="1" x14ac:dyDescent="0.3">
      <c r="A12" s="119"/>
      <c r="B12" s="120" t="s">
        <v>5</v>
      </c>
      <c r="C12" s="121"/>
      <c r="D12" s="672">
        <f>IF(OR($A$14="",SUM($D$10:D11)=$L$14),0,IF(O12+SUM($D$10:D11)&gt;=$L$14,$L$14-SUM($D$10:D11),O12))</f>
        <v>0</v>
      </c>
      <c r="E12" s="673"/>
      <c r="F12" s="120" t="s">
        <v>132</v>
      </c>
      <c r="G12" s="122"/>
      <c r="H12" s="122"/>
      <c r="I12" s="122"/>
      <c r="J12" s="123"/>
      <c r="L12" s="375">
        <f>IF($D10+$D11&gt;D14,0,IF($D10+$D11+D12&lt;D14,D12,D14-$D10-$D11))</f>
        <v>0</v>
      </c>
      <c r="M12" s="323"/>
      <c r="N12" s="353"/>
      <c r="O12" s="376">
        <f>'11号-4'!$O$11</f>
        <v>0</v>
      </c>
      <c r="P12" s="377"/>
      <c r="R12" s="323"/>
      <c r="S12" s="323"/>
      <c r="T12" s="326"/>
    </row>
    <row r="13" spans="1:24" ht="21" customHeight="1" x14ac:dyDescent="0.3">
      <c r="A13" s="124"/>
      <c r="B13" s="120" t="s">
        <v>2</v>
      </c>
      <c r="C13" s="121"/>
      <c r="D13" s="672">
        <f>IF(OR($A$14="",SUM($D$10:D12)=$L$14),0,IF(O13+SUM($D$10:D12)&gt;=$L$14,$L$14-SUM($D$10:D12),O13))</f>
        <v>0</v>
      </c>
      <c r="E13" s="673"/>
      <c r="F13" s="120" t="s">
        <v>133</v>
      </c>
      <c r="G13" s="122"/>
      <c r="H13" s="122"/>
      <c r="I13" s="122"/>
      <c r="J13" s="123"/>
      <c r="L13" s="375">
        <f>IF($D10+$D11+$D12&gt;D14,0,IF($D10+$D11+$D12+D13&lt;D14,D13,D14-$D10-$D11-$D12))</f>
        <v>0</v>
      </c>
      <c r="M13" s="323"/>
      <c r="N13" s="353"/>
      <c r="O13" s="376">
        <f>'11号-5'!$I$14</f>
        <v>0</v>
      </c>
      <c r="P13" s="378"/>
      <c r="R13" s="323"/>
      <c r="S13" s="323"/>
      <c r="T13" s="326"/>
    </row>
    <row r="14" spans="1:24" ht="15" customHeight="1" thickBot="1" x14ac:dyDescent="0.35">
      <c r="A14" s="676" t="str">
        <f>IF(ISERROR(IF('10号'!U25="","",MONTH('10号'!U25))),"",IF('10号'!U25="","",MONTH('10号'!U25)))</f>
        <v/>
      </c>
      <c r="B14" s="679" t="s">
        <v>27</v>
      </c>
      <c r="C14" s="680"/>
      <c r="D14" s="683">
        <f>IF($A$14="",0,IF(SUM(D10:E13)&lt;=$L$14,SUM(D10:E13),$L$14))</f>
        <v>0</v>
      </c>
      <c r="E14" s="684"/>
      <c r="F14" s="655" t="str">
        <f>IF('10号'!$Q$3=TRUE,"  ←　月計の上限額122,000円","  ←　月計の上限額97,000円")</f>
        <v xml:space="preserve">  ←　月計の上限額97,000円</v>
      </c>
      <c r="G14" s="656"/>
      <c r="H14" s="656"/>
      <c r="I14" s="656"/>
      <c r="J14" s="657"/>
      <c r="L14" s="379">
        <f>IF('10号'!$Q$3=TRUE,122000,97000)</f>
        <v>97000</v>
      </c>
      <c r="T14" s="326"/>
    </row>
    <row r="15" spans="1:24" ht="30" customHeight="1" thickBot="1" x14ac:dyDescent="0.35">
      <c r="A15" s="676"/>
      <c r="B15" s="681"/>
      <c r="C15" s="682"/>
      <c r="D15" s="685"/>
      <c r="E15" s="686"/>
      <c r="F15" s="658"/>
      <c r="G15" s="659"/>
      <c r="H15" s="659"/>
      <c r="I15" s="659"/>
      <c r="J15" s="660"/>
      <c r="L15" s="380"/>
      <c r="M15" s="339" t="str">
        <f>'10号'!U25</f>
        <v/>
      </c>
      <c r="N15" s="318"/>
      <c r="O15" s="376"/>
      <c r="P15" s="377"/>
      <c r="R15" s="323"/>
      <c r="S15" s="323"/>
      <c r="T15" s="331"/>
    </row>
    <row r="16" spans="1:24" ht="21" customHeight="1" thickBot="1" x14ac:dyDescent="0.3">
      <c r="A16" s="119"/>
      <c r="B16" s="120" t="s">
        <v>30</v>
      </c>
      <c r="C16" s="281"/>
      <c r="D16" s="674">
        <f>IF($A$14="",0,P16)</f>
        <v>0</v>
      </c>
      <c r="E16" s="675"/>
      <c r="F16" s="661" t="str">
        <f>IF('10号'!$Q$3=TRUE,"  ←　年度上限　420,000円","  ←　年度上限　120,000円")</f>
        <v xml:space="preserve">  ←　年度上限　120,000円</v>
      </c>
      <c r="G16" s="662"/>
      <c r="H16" s="662"/>
      <c r="I16" s="663"/>
      <c r="J16" s="664"/>
      <c r="L16" s="381"/>
      <c r="M16" s="382"/>
      <c r="N16" s="352"/>
      <c r="O16" s="383"/>
      <c r="P16" s="384">
        <f>IF($A14="",0,Q16)</f>
        <v>0</v>
      </c>
      <c r="Q16" s="385">
        <f>MIN('11号-6'!$O11,R16)</f>
        <v>0</v>
      </c>
      <c r="R16" s="379">
        <f>IF('10号'!$Q$3=TRUE,420000,120000)</f>
        <v>120000</v>
      </c>
      <c r="S16" s="324" t="str">
        <f>A14</f>
        <v/>
      </c>
      <c r="T16" s="319" t="str">
        <f>IFERROR(DATEDIF('10号'!$U$10,M15,"M")+1,"")</f>
        <v/>
      </c>
    </row>
    <row r="17" spans="1:20" ht="21" customHeight="1" x14ac:dyDescent="0.3">
      <c r="A17" s="119"/>
      <c r="B17" s="120" t="s">
        <v>20</v>
      </c>
      <c r="C17" s="125"/>
      <c r="D17" s="674">
        <f>IF($A$14="",0,N17)</f>
        <v>0</v>
      </c>
      <c r="E17" s="675"/>
      <c r="F17" s="335" t="s">
        <v>52</v>
      </c>
      <c r="G17" s="336"/>
      <c r="H17" s="336"/>
      <c r="I17" s="336"/>
      <c r="J17" s="337"/>
      <c r="L17" s="386"/>
      <c r="M17" s="323">
        <f>COUNTIF($N$17,"&gt;1")</f>
        <v>0</v>
      </c>
      <c r="N17" s="352">
        <f>MIN(30000,'11号-7'!O11+0)</f>
        <v>0</v>
      </c>
      <c r="O17" s="383"/>
      <c r="P17" s="377"/>
      <c r="R17" s="323"/>
      <c r="S17" s="323"/>
      <c r="T17" s="332"/>
    </row>
    <row r="18" spans="1:20" ht="21" customHeight="1" thickBot="1" x14ac:dyDescent="0.35">
      <c r="A18" s="126"/>
      <c r="B18" s="677" t="str">
        <f>A14&amp;"月計"</f>
        <v>月計</v>
      </c>
      <c r="C18" s="678"/>
      <c r="D18" s="689">
        <f>SUM(D14:E17)</f>
        <v>0</v>
      </c>
      <c r="E18" s="690"/>
      <c r="F18" s="665"/>
      <c r="G18" s="666"/>
      <c r="H18" s="666"/>
      <c r="I18" s="666"/>
      <c r="J18" s="667"/>
      <c r="L18" s="387"/>
      <c r="M18" s="325"/>
      <c r="N18" s="388"/>
      <c r="O18" s="389"/>
      <c r="P18" s="377"/>
      <c r="R18" s="325"/>
      <c r="S18" s="325"/>
      <c r="T18" s="327"/>
    </row>
    <row r="19" spans="1:20" ht="21" customHeight="1" x14ac:dyDescent="0.3">
      <c r="A19" s="114"/>
      <c r="B19" s="115" t="s">
        <v>1</v>
      </c>
      <c r="C19" s="116"/>
      <c r="D19" s="687">
        <f>IF($A$23="",0,O19)</f>
        <v>0</v>
      </c>
      <c r="E19" s="688"/>
      <c r="F19" s="115" t="s">
        <v>130</v>
      </c>
      <c r="G19" s="117"/>
      <c r="H19" s="117"/>
      <c r="I19" s="117"/>
      <c r="J19" s="118"/>
      <c r="L19" s="392"/>
      <c r="M19" s="322"/>
      <c r="N19" s="393"/>
      <c r="O19" s="394" t="str">
        <f>②!$M$162</f>
        <v/>
      </c>
      <c r="P19" s="426"/>
      <c r="Q19" s="427" t="s">
        <v>233</v>
      </c>
      <c r="R19" s="322"/>
      <c r="S19" s="322"/>
      <c r="T19" s="328"/>
    </row>
    <row r="20" spans="1:20" ht="21" customHeight="1" x14ac:dyDescent="0.3">
      <c r="A20" s="119"/>
      <c r="B20" s="120" t="s">
        <v>4</v>
      </c>
      <c r="C20" s="121"/>
      <c r="D20" s="672">
        <f>IF(OR($A$23="",D19=$L$23),0,IF((O20+SUM($D$19:D19))&gt;=$L$23,$L$23-SUM($D$19:D19),O20))</f>
        <v>0</v>
      </c>
      <c r="E20" s="673"/>
      <c r="F20" s="120" t="s">
        <v>131</v>
      </c>
      <c r="G20" s="122"/>
      <c r="H20" s="122"/>
      <c r="I20" s="122"/>
      <c r="J20" s="123"/>
      <c r="L20" s="386">
        <f>IF($D19&gt;D23,0,IF($D19+D20&lt;D23,D20,D23-$D19))</f>
        <v>0</v>
      </c>
      <c r="M20" s="323"/>
      <c r="N20" s="395"/>
      <c r="O20" s="376">
        <f>'11号-3'!$Q$12</f>
        <v>0</v>
      </c>
      <c r="P20" s="377"/>
      <c r="R20" s="323"/>
      <c r="S20" s="323"/>
      <c r="T20" s="329"/>
    </row>
    <row r="21" spans="1:20" ht="21" customHeight="1" x14ac:dyDescent="0.3">
      <c r="A21" s="119"/>
      <c r="B21" s="120" t="s">
        <v>5</v>
      </c>
      <c r="C21" s="121"/>
      <c r="D21" s="672">
        <f>IF(OR($A$23="",SUM($D$19:D20)=$L$23),0,IF((O21+SUM($D$19:D20))&gt;=$L$23,$L$23-SUM($D$19:D20),O21))</f>
        <v>0</v>
      </c>
      <c r="E21" s="673"/>
      <c r="F21" s="120" t="s">
        <v>132</v>
      </c>
      <c r="G21" s="122"/>
      <c r="H21" s="122"/>
      <c r="I21" s="122"/>
      <c r="J21" s="123"/>
      <c r="L21" s="386">
        <f>IF($D19+$D20&gt;D23,0,IF($D19+$D20+D21&lt;D23,D21,D23-$D19-$D20))</f>
        <v>0</v>
      </c>
      <c r="M21" s="323"/>
      <c r="N21" s="395"/>
      <c r="O21" s="376">
        <f>'11号-4'!$O$12</f>
        <v>0</v>
      </c>
      <c r="P21" s="377"/>
      <c r="R21" s="431" t="s">
        <v>245</v>
      </c>
      <c r="S21" s="323"/>
      <c r="T21" s="329"/>
    </row>
    <row r="22" spans="1:20" ht="21" customHeight="1" x14ac:dyDescent="0.3">
      <c r="A22" s="124"/>
      <c r="B22" s="120" t="s">
        <v>2</v>
      </c>
      <c r="C22" s="121"/>
      <c r="D22" s="672">
        <f>IF(OR($A$23="",SUM($D$19:D21)=$L$23),0,IF((O22+SUM($D$19:D21))&gt;=$L$23,$L$23-SUM($D$19:D21),O22))</f>
        <v>0</v>
      </c>
      <c r="E22" s="673"/>
      <c r="F22" s="120" t="s">
        <v>133</v>
      </c>
      <c r="G22" s="122"/>
      <c r="H22" s="122"/>
      <c r="I22" s="122"/>
      <c r="J22" s="123"/>
      <c r="L22" s="386">
        <f>IF($D19+$D20+$D21&gt;D23,0,IF($D19+$D20+$D21+D22&lt;D23,D22,D23-$D19-$D20-$D21))</f>
        <v>0</v>
      </c>
      <c r="M22" s="323"/>
      <c r="N22" s="396"/>
      <c r="O22" s="376">
        <f>'11号-5'!$I$17</f>
        <v>0</v>
      </c>
      <c r="P22" s="377"/>
      <c r="R22" s="428" t="s">
        <v>236</v>
      </c>
      <c r="S22" s="323"/>
      <c r="T22" s="329"/>
    </row>
    <row r="23" spans="1:20" ht="15" customHeight="1" thickBot="1" x14ac:dyDescent="0.35">
      <c r="A23" s="676" t="str">
        <f>IF(ISERROR(IF('10号'!U26="","",MONTH('10号'!U26))),"",IF('10号'!U26="","",MONTH('10号'!U26)))</f>
        <v/>
      </c>
      <c r="B23" s="679" t="s">
        <v>27</v>
      </c>
      <c r="C23" s="680"/>
      <c r="D23" s="683">
        <f>IF($A$23="",0,IF(SUM(D19:E22)&lt;=$L$23,SUM(D19:E22),$L$23))</f>
        <v>0</v>
      </c>
      <c r="E23" s="684"/>
      <c r="F23" s="670" t="str">
        <f>IF('10号'!$Q$3=TRUE,"  ←　月計の上限額122,000円","  ←　月計の上限額97,000円")</f>
        <v xml:space="preserve">  ←　月計の上限額97,000円</v>
      </c>
      <c r="G23" s="671"/>
      <c r="H23" s="671"/>
      <c r="I23" s="668"/>
      <c r="J23" s="669"/>
      <c r="L23" s="379">
        <f>IF('10号'!$Q$3=TRUE,122000,97000)</f>
        <v>97000</v>
      </c>
      <c r="M23" s="323"/>
      <c r="N23" s="396"/>
      <c r="O23" s="397"/>
      <c r="P23" s="377"/>
      <c r="R23" s="429" t="s">
        <v>237</v>
      </c>
      <c r="S23" s="323"/>
      <c r="T23" s="326"/>
    </row>
    <row r="24" spans="1:20" ht="30" customHeight="1" thickBot="1" x14ac:dyDescent="0.35">
      <c r="A24" s="676"/>
      <c r="B24" s="681"/>
      <c r="C24" s="682"/>
      <c r="D24" s="685"/>
      <c r="E24" s="686"/>
      <c r="F24" s="658"/>
      <c r="G24" s="659"/>
      <c r="H24" s="659"/>
      <c r="I24" s="659"/>
      <c r="J24" s="660"/>
      <c r="L24" s="380"/>
      <c r="M24" s="339" t="str">
        <f>'10号'!U26</f>
        <v/>
      </c>
      <c r="N24" s="318"/>
      <c r="O24" s="398"/>
      <c r="P24" s="377"/>
      <c r="R24" s="430" t="s">
        <v>238</v>
      </c>
      <c r="S24" s="323"/>
      <c r="T24" s="331"/>
    </row>
    <row r="25" spans="1:20" ht="21" customHeight="1" thickBot="1" x14ac:dyDescent="0.3">
      <c r="A25" s="119"/>
      <c r="B25" s="120" t="s">
        <v>30</v>
      </c>
      <c r="C25" s="281"/>
      <c r="D25" s="674">
        <f>IF($A23="",0,P25)</f>
        <v>0</v>
      </c>
      <c r="E25" s="675"/>
      <c r="F25" s="661" t="str">
        <f>IF('10号'!$Q$3=TRUE,"  ←　年度上限　420,000円","  ←　年度上限　120,000円")</f>
        <v xml:space="preserve">  ←　年度上限　120,000円</v>
      </c>
      <c r="G25" s="662"/>
      <c r="H25" s="662"/>
      <c r="I25" s="663"/>
      <c r="J25" s="664"/>
      <c r="L25" s="381"/>
      <c r="M25" s="382"/>
      <c r="N25" s="395"/>
      <c r="O25" s="398"/>
      <c r="P25" s="384">
        <f>IF($A23="",0,IF(T25=13,Q25,MAX(IF((P$16+Q25)&gt;=R25,R25-P$16,Q25),0)))</f>
        <v>0</v>
      </c>
      <c r="Q25" s="385">
        <f>MIN('11号-6'!$O12,R25)</f>
        <v>0</v>
      </c>
      <c r="R25" s="379">
        <f>IF('10号'!$Q$3=TRUE,420000,120000)</f>
        <v>120000</v>
      </c>
      <c r="S25" s="324" t="str">
        <f>A23</f>
        <v/>
      </c>
      <c r="T25" s="319" t="str">
        <f>IFERROR(DATEDIF('10号'!$U$10,M24,"M")+1,"")</f>
        <v/>
      </c>
    </row>
    <row r="26" spans="1:20" ht="21" customHeight="1" x14ac:dyDescent="0.25">
      <c r="A26" s="119"/>
      <c r="B26" s="120" t="s">
        <v>20</v>
      </c>
      <c r="C26" s="125"/>
      <c r="D26" s="674">
        <f>IF($A$23="",0,N26)</f>
        <v>0</v>
      </c>
      <c r="E26" s="675"/>
      <c r="F26" s="335" t="s">
        <v>52</v>
      </c>
      <c r="G26" s="336"/>
      <c r="H26" s="336"/>
      <c r="I26" s="336"/>
      <c r="J26" s="337"/>
      <c r="L26" s="386"/>
      <c r="M26" s="323">
        <f>COUNTIF($N$17:N26,"&gt;1")</f>
        <v>0</v>
      </c>
      <c r="N26" s="352">
        <f>MIN(30000,'11号-7'!O12+0)</f>
        <v>0</v>
      </c>
      <c r="O26" s="383"/>
      <c r="P26" s="399" t="s">
        <v>194</v>
      </c>
      <c r="Q26" s="400">
        <f>P16+P25</f>
        <v>0</v>
      </c>
      <c r="R26" s="323"/>
      <c r="S26" s="323"/>
      <c r="T26" s="332"/>
    </row>
    <row r="27" spans="1:20" ht="21" customHeight="1" thickBot="1" x14ac:dyDescent="0.35">
      <c r="A27" s="126"/>
      <c r="B27" s="677" t="str">
        <f>A23&amp;"月計"</f>
        <v>月計</v>
      </c>
      <c r="C27" s="678"/>
      <c r="D27" s="700">
        <f>SUM(D23:E26)</f>
        <v>0</v>
      </c>
      <c r="E27" s="690"/>
      <c r="F27" s="665"/>
      <c r="G27" s="666"/>
      <c r="H27" s="666"/>
      <c r="I27" s="666"/>
      <c r="J27" s="667"/>
      <c r="L27" s="387"/>
      <c r="M27" s="325"/>
      <c r="N27" s="401"/>
      <c r="O27" s="402"/>
      <c r="P27" s="377"/>
      <c r="R27" s="325"/>
      <c r="S27" s="325"/>
      <c r="T27" s="327"/>
    </row>
    <row r="28" spans="1:20" ht="21" customHeight="1" x14ac:dyDescent="0.3">
      <c r="A28" s="114"/>
      <c r="B28" s="115" t="s">
        <v>1</v>
      </c>
      <c r="C28" s="116"/>
      <c r="D28" s="687">
        <f>IF($A$32="",0,O28)</f>
        <v>0</v>
      </c>
      <c r="E28" s="688"/>
      <c r="F28" s="115" t="s">
        <v>130</v>
      </c>
      <c r="G28" s="117"/>
      <c r="H28" s="117"/>
      <c r="I28" s="117"/>
      <c r="J28" s="118"/>
      <c r="L28" s="392"/>
      <c r="M28" s="322"/>
      <c r="N28" s="403"/>
      <c r="O28" s="394" t="str">
        <f>③!$M$162</f>
        <v/>
      </c>
      <c r="P28" s="426"/>
      <c r="Q28" s="427" t="s">
        <v>234</v>
      </c>
      <c r="R28" s="322"/>
      <c r="S28" s="322"/>
      <c r="T28" s="328"/>
    </row>
    <row r="29" spans="1:20" ht="21" customHeight="1" x14ac:dyDescent="0.3">
      <c r="A29" s="119"/>
      <c r="B29" s="120" t="s">
        <v>4</v>
      </c>
      <c r="C29" s="121"/>
      <c r="D29" s="672">
        <f>IF(OR($A$32="",D28=$L$32),0,IF(O29+SUM($D$28:D28)&gt;=$L$32,$L$32-SUM($D$28:D28),O29))</f>
        <v>0</v>
      </c>
      <c r="E29" s="675"/>
      <c r="F29" s="120" t="s">
        <v>131</v>
      </c>
      <c r="G29" s="122"/>
      <c r="H29" s="122"/>
      <c r="I29" s="122"/>
      <c r="J29" s="123"/>
      <c r="L29" s="386">
        <f>IF($D28&gt;D32,0,IF($D28+D29&lt;D32,D29,D32-$D28))</f>
        <v>0</v>
      </c>
      <c r="M29" s="323"/>
      <c r="N29" s="353"/>
      <c r="O29" s="376">
        <f>'11号-3'!$Q$13</f>
        <v>0</v>
      </c>
      <c r="P29" s="377"/>
      <c r="R29" s="323"/>
      <c r="S29" s="323"/>
      <c r="T29" s="329"/>
    </row>
    <row r="30" spans="1:20" ht="21" customHeight="1" x14ac:dyDescent="0.3">
      <c r="A30" s="119"/>
      <c r="B30" s="120" t="s">
        <v>5</v>
      </c>
      <c r="C30" s="121"/>
      <c r="D30" s="672">
        <f>IF(OR($A$32="",SUM($D$28:D29)=$L$32),0,IF(O30+SUM($D$28:D29)&gt;=$L$32,$L$32-SUM($D$28:D29),O30))</f>
        <v>0</v>
      </c>
      <c r="E30" s="675"/>
      <c r="F30" s="120" t="s">
        <v>132</v>
      </c>
      <c r="G30" s="122"/>
      <c r="H30" s="122"/>
      <c r="I30" s="122"/>
      <c r="J30" s="123"/>
      <c r="L30" s="386">
        <f>IF($D28+$D29&gt;D32,0,IF($D28+$D29+D30&lt;D32,D30,D32-$D28-$D29))</f>
        <v>0</v>
      </c>
      <c r="M30" s="323"/>
      <c r="N30" s="353"/>
      <c r="O30" s="376">
        <f>'11号-4'!$O$13</f>
        <v>0</v>
      </c>
      <c r="P30" s="377"/>
      <c r="R30" s="431" t="s">
        <v>245</v>
      </c>
      <c r="S30" s="323"/>
      <c r="T30" s="329"/>
    </row>
    <row r="31" spans="1:20" ht="21" customHeight="1" x14ac:dyDescent="0.3">
      <c r="A31" s="124"/>
      <c r="B31" s="120" t="s">
        <v>2</v>
      </c>
      <c r="C31" s="121"/>
      <c r="D31" s="672">
        <f>IF(OR($A$32="",SUM($D$28:D30)=$L$32),0,IF(O31+SUM($D$28:D30)&gt;=$L$32,$L$32-SUM($D$28:D30),O31))</f>
        <v>0</v>
      </c>
      <c r="E31" s="673"/>
      <c r="F31" s="120" t="s">
        <v>133</v>
      </c>
      <c r="G31" s="122"/>
      <c r="H31" s="122"/>
      <c r="I31" s="122"/>
      <c r="J31" s="123"/>
      <c r="L31" s="386">
        <f>IF($D28+$D29+$D30&gt;D32,0,IF($D28+$D29+$D30+D31&lt;D32,D31,D32-$D28-$D29-$D30))</f>
        <v>0</v>
      </c>
      <c r="M31" s="323"/>
      <c r="N31" s="353"/>
      <c r="O31" s="376">
        <f>'11号-5'!$I$20</f>
        <v>0</v>
      </c>
      <c r="P31" s="377"/>
      <c r="R31" s="428" t="s">
        <v>239</v>
      </c>
      <c r="S31" s="323"/>
      <c r="T31" s="329"/>
    </row>
    <row r="32" spans="1:20" ht="15" customHeight="1" thickBot="1" x14ac:dyDescent="0.35">
      <c r="A32" s="676" t="str">
        <f>IF(ISERROR(IF('10号'!U27="","",MONTH('10号'!U27))),"",IF('10号'!U27="","",MONTH('10号'!U27)))</f>
        <v/>
      </c>
      <c r="B32" s="679" t="s">
        <v>27</v>
      </c>
      <c r="C32" s="680"/>
      <c r="D32" s="683">
        <f>IF($A$32="",0,IF(SUM(D28:E31)&lt;=$L$32,SUM(D28:E31),$L$32))</f>
        <v>0</v>
      </c>
      <c r="E32" s="684"/>
      <c r="F32" s="670" t="str">
        <f>IF('10号'!$Q$3=TRUE,"  ←　月計の上限額122,000円","  ←　月計の上限額97,000円")</f>
        <v xml:space="preserve">  ←　月計の上限額97,000円</v>
      </c>
      <c r="G32" s="671"/>
      <c r="H32" s="671"/>
      <c r="I32" s="668"/>
      <c r="J32" s="669"/>
      <c r="L32" s="379">
        <f>IF('10号'!$Q$3=TRUE,122000,97000)</f>
        <v>97000</v>
      </c>
      <c r="R32" s="429" t="s">
        <v>240</v>
      </c>
      <c r="T32" s="326"/>
    </row>
    <row r="33" spans="1:20" ht="30" customHeight="1" thickBot="1" x14ac:dyDescent="0.35">
      <c r="A33" s="676"/>
      <c r="B33" s="681"/>
      <c r="C33" s="682"/>
      <c r="D33" s="685"/>
      <c r="E33" s="686"/>
      <c r="F33" s="658"/>
      <c r="G33" s="659"/>
      <c r="H33" s="659"/>
      <c r="I33" s="659"/>
      <c r="J33" s="660"/>
      <c r="L33" s="380"/>
      <c r="M33" s="339" t="str">
        <f>'10号'!U27</f>
        <v/>
      </c>
      <c r="N33" s="353"/>
      <c r="O33" s="376"/>
      <c r="P33" s="377"/>
      <c r="R33" s="430" t="s">
        <v>241</v>
      </c>
      <c r="S33" s="330"/>
      <c r="T33" s="331"/>
    </row>
    <row r="34" spans="1:20" ht="21" customHeight="1" thickBot="1" x14ac:dyDescent="0.3">
      <c r="A34" s="119"/>
      <c r="B34" s="120" t="s">
        <v>30</v>
      </c>
      <c r="C34" s="281"/>
      <c r="D34" s="674">
        <f>IF($A$32="",0,P34)</f>
        <v>0</v>
      </c>
      <c r="E34" s="675"/>
      <c r="F34" s="661" t="str">
        <f>IF('10号'!$Q$3=TRUE,"  ←　年度上限　420,000円","  ←　年度上限　120,000円")</f>
        <v xml:space="preserve">  ←　年度上限　120,000円</v>
      </c>
      <c r="G34" s="662"/>
      <c r="H34" s="662"/>
      <c r="I34" s="663"/>
      <c r="J34" s="664"/>
      <c r="L34" s="404"/>
      <c r="M34" s="405"/>
      <c r="N34" s="353"/>
      <c r="O34" s="376"/>
      <c r="P34" s="384">
        <f>IF($A32="",0,IF(T25=13,MIN(Q34,R34-P25),IF(T34=13,Q34,MAX(IF((P$16+P$25+Q34)&gt;=R34,R34-P$16-P$25,Q34),0))))</f>
        <v>0</v>
      </c>
      <c r="Q34" s="385">
        <f>MIN('11号-6'!$O13,R34)</f>
        <v>0</v>
      </c>
      <c r="R34" s="379">
        <f>IF('10号'!$Q$3=TRUE,420000,120000)</f>
        <v>120000</v>
      </c>
      <c r="S34" s="324" t="str">
        <f>A32</f>
        <v/>
      </c>
      <c r="T34" s="319" t="str">
        <f>IFERROR(DATEDIF('10号'!$U$10,M33,"M")+1,"")</f>
        <v/>
      </c>
    </row>
    <row r="35" spans="1:20" ht="21" customHeight="1" x14ac:dyDescent="0.25">
      <c r="A35" s="119"/>
      <c r="B35" s="120" t="s">
        <v>20</v>
      </c>
      <c r="C35" s="125"/>
      <c r="D35" s="674">
        <f>IF($A$32="",0,N35)</f>
        <v>0</v>
      </c>
      <c r="E35" s="675"/>
      <c r="F35" s="335" t="s">
        <v>52</v>
      </c>
      <c r="G35" s="336"/>
      <c r="H35" s="336"/>
      <c r="I35" s="336"/>
      <c r="J35" s="337"/>
      <c r="L35" s="386"/>
      <c r="M35" s="323">
        <f>COUNTIF($N$17:N35,"&gt;1")</f>
        <v>0</v>
      </c>
      <c r="N35" s="352">
        <f>MIN(30000,'11号-7'!O13+0)</f>
        <v>0</v>
      </c>
      <c r="O35" s="383"/>
      <c r="P35" s="399" t="s">
        <v>194</v>
      </c>
      <c r="Q35" s="400">
        <f>Q26+P34</f>
        <v>0</v>
      </c>
      <c r="R35" s="323"/>
      <c r="S35" s="323"/>
      <c r="T35" s="332"/>
    </row>
    <row r="36" spans="1:20" ht="21" customHeight="1" thickBot="1" x14ac:dyDescent="0.35">
      <c r="A36" s="126"/>
      <c r="B36" s="677" t="str">
        <f>A32&amp;"月計"</f>
        <v>月計</v>
      </c>
      <c r="C36" s="678"/>
      <c r="D36" s="700">
        <f>SUM(D32:E35)</f>
        <v>0</v>
      </c>
      <c r="E36" s="690"/>
      <c r="F36" s="665"/>
      <c r="G36" s="666"/>
      <c r="H36" s="666"/>
      <c r="I36" s="666"/>
      <c r="J36" s="667"/>
      <c r="L36" s="387"/>
      <c r="M36" s="325"/>
      <c r="N36" s="406"/>
      <c r="O36" s="407"/>
      <c r="P36" s="377"/>
      <c r="R36" s="325"/>
      <c r="S36" s="325"/>
      <c r="T36" s="327"/>
    </row>
    <row r="37" spans="1:20" ht="21" customHeight="1" x14ac:dyDescent="0.3">
      <c r="A37" s="114"/>
      <c r="B37" s="115" t="s">
        <v>1</v>
      </c>
      <c r="C37" s="116"/>
      <c r="D37" s="687">
        <f>IF(A41="",0,O37)</f>
        <v>0</v>
      </c>
      <c r="E37" s="688"/>
      <c r="F37" s="115" t="s">
        <v>130</v>
      </c>
      <c r="G37" s="117"/>
      <c r="H37" s="117"/>
      <c r="I37" s="117"/>
      <c r="J37" s="118"/>
      <c r="L37" s="392"/>
      <c r="M37" s="322"/>
      <c r="N37" s="408"/>
      <c r="O37" s="394" t="str">
        <f>④!$M$162</f>
        <v/>
      </c>
      <c r="P37" s="426"/>
      <c r="Q37" s="427" t="s">
        <v>235</v>
      </c>
      <c r="R37" s="322"/>
      <c r="S37" s="322"/>
      <c r="T37" s="328"/>
    </row>
    <row r="38" spans="1:20" ht="21" customHeight="1" x14ac:dyDescent="0.3">
      <c r="A38" s="119"/>
      <c r="B38" s="120" t="s">
        <v>4</v>
      </c>
      <c r="C38" s="121"/>
      <c r="D38" s="672">
        <f>IF(OR($A$41="",D37=$L$41),0,IF(O38+SUM($D$37:D37)&gt;=$L$41,$L$41-SUM($D$37:D37),O38))</f>
        <v>0</v>
      </c>
      <c r="E38" s="673"/>
      <c r="F38" s="120" t="s">
        <v>131</v>
      </c>
      <c r="G38" s="122"/>
      <c r="H38" s="122"/>
      <c r="I38" s="122"/>
      <c r="J38" s="123"/>
      <c r="L38" s="386">
        <f>IF($D37&gt;D41,0,IF($D37+D38&lt;D41,D38,D41-$D37))</f>
        <v>0</v>
      </c>
      <c r="M38" s="323"/>
      <c r="N38" s="353"/>
      <c r="O38" s="376">
        <f>'11号-3'!$Q$14</f>
        <v>0</v>
      </c>
      <c r="P38" s="377"/>
      <c r="R38" s="323"/>
      <c r="S38" s="323"/>
      <c r="T38" s="329"/>
    </row>
    <row r="39" spans="1:20" ht="21" customHeight="1" x14ac:dyDescent="0.3">
      <c r="A39" s="119"/>
      <c r="B39" s="120" t="s">
        <v>5</v>
      </c>
      <c r="C39" s="121"/>
      <c r="D39" s="672">
        <f>IF(OR($A$41="",SUM($D$37:D38)=$L$41),0,IF(O39+SUM($D$37:D38)&gt;=$L$41,$L$41-SUM($D$37:D38),O39))</f>
        <v>0</v>
      </c>
      <c r="E39" s="673"/>
      <c r="F39" s="120" t="s">
        <v>132</v>
      </c>
      <c r="G39" s="122"/>
      <c r="H39" s="122"/>
      <c r="I39" s="122"/>
      <c r="J39" s="123"/>
      <c r="L39" s="386">
        <f>IF($D37+$D38&gt;D41,0,IF($D37+$D38+D39&lt;D41,D39,D41-$D37-$D38))</f>
        <v>0</v>
      </c>
      <c r="M39" s="323"/>
      <c r="N39" s="353"/>
      <c r="O39" s="376">
        <f>'11号-4'!$O$14</f>
        <v>0</v>
      </c>
      <c r="P39" s="377"/>
      <c r="R39" s="431" t="s">
        <v>245</v>
      </c>
      <c r="S39" s="323"/>
      <c r="T39" s="329"/>
    </row>
    <row r="40" spans="1:20" ht="21" customHeight="1" x14ac:dyDescent="0.3">
      <c r="A40" s="534"/>
      <c r="B40" s="120" t="s">
        <v>2</v>
      </c>
      <c r="C40" s="121"/>
      <c r="D40" s="672">
        <f>IF(OR($A$41="",SUM($D$37:D39)=$L$41),0,IF(O40+SUM($D$37:D39)&gt;$L$41,$L$41-SUM($D$37:D39),O40))</f>
        <v>0</v>
      </c>
      <c r="E40" s="673"/>
      <c r="F40" s="120" t="s">
        <v>133</v>
      </c>
      <c r="G40" s="122"/>
      <c r="H40" s="122"/>
      <c r="I40" s="122"/>
      <c r="J40" s="123"/>
      <c r="L40" s="386">
        <f>IF($D37+$D38+$D39&gt;D41,0,IF($D37+$D38+$D39+D40&lt;D41,D40,D41-$D37-$D38-$D39))</f>
        <v>0</v>
      </c>
      <c r="M40" s="323"/>
      <c r="N40" s="353"/>
      <c r="O40" s="376">
        <f>'11号-5'!$I$23</f>
        <v>0</v>
      </c>
      <c r="P40" s="377"/>
      <c r="R40" s="428" t="s">
        <v>242</v>
      </c>
      <c r="S40" s="323"/>
      <c r="T40" s="329"/>
    </row>
    <row r="41" spans="1:20" ht="15" customHeight="1" thickBot="1" x14ac:dyDescent="0.35">
      <c r="A41" s="676" t="str">
        <f>IF(ISERROR(IF('10号'!U28="","",MONTH('10号'!U28))),"",IF('10号'!U28="","",MONTH('10号'!U28)))</f>
        <v/>
      </c>
      <c r="B41" s="679" t="s">
        <v>27</v>
      </c>
      <c r="C41" s="680"/>
      <c r="D41" s="683">
        <f>IF($A$41="",0,IF(SUM(D37:E40)&lt;=$L$41,SUM(D37:E40),$L$41))</f>
        <v>0</v>
      </c>
      <c r="E41" s="684"/>
      <c r="F41" s="670" t="str">
        <f>IF('10号'!$Q$3=TRUE,"  ←　月計の上限額122,000円","  ←　月計の上限額97,000円")</f>
        <v xml:space="preserve">  ←　月計の上限額97,000円</v>
      </c>
      <c r="G41" s="671"/>
      <c r="H41" s="671"/>
      <c r="I41" s="668"/>
      <c r="J41" s="709"/>
      <c r="L41" s="379">
        <f>IF('10号'!$Q$3=TRUE,122000,97000)</f>
        <v>97000</v>
      </c>
      <c r="M41" s="323"/>
      <c r="N41" s="353"/>
      <c r="O41" s="376"/>
      <c r="P41" s="377"/>
      <c r="R41" s="429" t="s">
        <v>243</v>
      </c>
      <c r="S41" s="323"/>
      <c r="T41" s="326"/>
    </row>
    <row r="42" spans="1:20" ht="30" customHeight="1" thickBot="1" x14ac:dyDescent="0.35">
      <c r="A42" s="676"/>
      <c r="B42" s="681"/>
      <c r="C42" s="682"/>
      <c r="D42" s="685"/>
      <c r="E42" s="686"/>
      <c r="F42" s="658"/>
      <c r="G42" s="659"/>
      <c r="H42" s="659"/>
      <c r="I42" s="659"/>
      <c r="J42" s="660"/>
      <c r="L42" s="380"/>
      <c r="M42" s="339" t="str">
        <f>'10号'!U28</f>
        <v/>
      </c>
      <c r="N42" s="353"/>
      <c r="O42" s="376"/>
      <c r="P42" s="377"/>
      <c r="R42" s="430" t="s">
        <v>244</v>
      </c>
      <c r="S42" s="323"/>
      <c r="T42" s="331"/>
    </row>
    <row r="43" spans="1:20" ht="21" customHeight="1" thickBot="1" x14ac:dyDescent="0.3">
      <c r="A43" s="119"/>
      <c r="B43" s="120" t="s">
        <v>30</v>
      </c>
      <c r="C43" s="549"/>
      <c r="D43" s="674">
        <f>IF($A$41="",0,P43)</f>
        <v>0</v>
      </c>
      <c r="E43" s="675"/>
      <c r="F43" s="661" t="str">
        <f>IF('10号'!$Q$3=TRUE,"  ←　年度上限　420,000円","  ←　年度上限　120,000円")</f>
        <v xml:space="preserve">  ←　年度上限　120,000円</v>
      </c>
      <c r="G43" s="662"/>
      <c r="H43" s="662"/>
      <c r="I43" s="663"/>
      <c r="J43" s="664"/>
      <c r="L43" s="409"/>
      <c r="M43" s="405"/>
      <c r="N43" s="353"/>
      <c r="O43" s="376"/>
      <c r="P43" s="384">
        <f>IF($A41="",0,IF(T25=13,MAX(0,MIN(Q43,R43-P34-P25)),IF(T34=13,MIN(Q43,R43-P34),IF(T43=13,Q43,MAX(IF((P$16+P$25+P$34+Q43)&gt;=R43,R43-P$16-P$25-P$34,Q43),0)))))</f>
        <v>0</v>
      </c>
      <c r="Q43" s="385">
        <f>MIN('11号-6'!$O14,R43)</f>
        <v>0</v>
      </c>
      <c r="R43" s="379">
        <f>IF('10号'!$Q$3=TRUE,420000,120000)</f>
        <v>120000</v>
      </c>
      <c r="S43" s="324" t="str">
        <f>A41</f>
        <v/>
      </c>
      <c r="T43" s="319" t="str">
        <f>IFERROR(DATEDIF('10号'!$U$10,M42,"M")+1,"")</f>
        <v/>
      </c>
    </row>
    <row r="44" spans="1:20" ht="21" customHeight="1" x14ac:dyDescent="0.25">
      <c r="A44" s="119"/>
      <c r="B44" s="120" t="s">
        <v>20</v>
      </c>
      <c r="C44" s="125"/>
      <c r="D44" s="674">
        <f>IF($A$41="",0,N44)</f>
        <v>0</v>
      </c>
      <c r="E44" s="675"/>
      <c r="F44" s="335" t="s">
        <v>52</v>
      </c>
      <c r="G44" s="336"/>
      <c r="H44" s="336"/>
      <c r="I44" s="336"/>
      <c r="J44" s="337"/>
      <c r="L44" s="410"/>
      <c r="M44" s="323">
        <f>COUNTIF($N$17:N44,"&gt;1")</f>
        <v>0</v>
      </c>
      <c r="N44" s="352">
        <f>MIN(30000,'11号-7'!O14+0)</f>
        <v>0</v>
      </c>
      <c r="O44" s="383"/>
      <c r="P44" s="399" t="s">
        <v>194</v>
      </c>
      <c r="Q44" s="400">
        <f>Q35+P43</f>
        <v>0</v>
      </c>
      <c r="R44" s="323"/>
      <c r="S44" s="323"/>
      <c r="T44" s="332"/>
    </row>
    <row r="45" spans="1:20" ht="21" customHeight="1" thickBot="1" x14ac:dyDescent="0.35">
      <c r="A45" s="126"/>
      <c r="B45" s="677" t="str">
        <f>A41&amp;"月計"</f>
        <v>月計</v>
      </c>
      <c r="C45" s="678"/>
      <c r="D45" s="700">
        <f>SUM(D41:E44)</f>
        <v>0</v>
      </c>
      <c r="E45" s="690"/>
      <c r="F45" s="665"/>
      <c r="G45" s="666"/>
      <c r="H45" s="666"/>
      <c r="I45" s="666"/>
      <c r="J45" s="667"/>
      <c r="L45" s="411"/>
      <c r="M45" s="325"/>
      <c r="N45" s="406"/>
      <c r="O45" s="407"/>
      <c r="P45" s="390"/>
      <c r="Q45" s="391"/>
      <c r="R45" s="325"/>
      <c r="S45" s="325"/>
      <c r="T45" s="327"/>
    </row>
    <row r="46" spans="1:20" ht="21" customHeight="1" x14ac:dyDescent="0.3">
      <c r="A46" s="114"/>
      <c r="B46" s="115" t="s">
        <v>1</v>
      </c>
      <c r="C46" s="116"/>
      <c r="D46" s="687">
        <f>IF(A50="",0,O46)</f>
        <v>0</v>
      </c>
      <c r="E46" s="688"/>
      <c r="F46" s="115" t="s">
        <v>130</v>
      </c>
      <c r="G46" s="117"/>
      <c r="H46" s="117"/>
      <c r="I46" s="117"/>
      <c r="J46" s="118"/>
      <c r="L46" s="392"/>
      <c r="M46" s="322"/>
      <c r="N46" s="408"/>
      <c r="O46" s="394" t="str">
        <f>⑤!$M$162</f>
        <v/>
      </c>
      <c r="P46" s="426"/>
      <c r="Q46" s="427" t="s">
        <v>278</v>
      </c>
      <c r="R46" s="322"/>
      <c r="S46" s="322"/>
      <c r="T46" s="328"/>
    </row>
    <row r="47" spans="1:20" ht="21" customHeight="1" x14ac:dyDescent="0.3">
      <c r="A47" s="119"/>
      <c r="B47" s="120" t="s">
        <v>4</v>
      </c>
      <c r="C47" s="121"/>
      <c r="D47" s="672">
        <f>IF(OR($A$50="",D46=$L$50),0,IF(O47+SUM($D$46:D46)&gt;=$L$50,$L$50-SUM($D$46:D46),O47))</f>
        <v>0</v>
      </c>
      <c r="E47" s="675"/>
      <c r="F47" s="120" t="s">
        <v>131</v>
      </c>
      <c r="G47" s="122"/>
      <c r="H47" s="122"/>
      <c r="I47" s="122"/>
      <c r="J47" s="123"/>
      <c r="L47" s="386">
        <f>IF($D46&gt;D50,0,IF($D46+D47&lt;D50,D47,D50-$D46))</f>
        <v>0</v>
      </c>
      <c r="M47" s="323"/>
      <c r="N47" s="353"/>
      <c r="O47" s="376">
        <f>'11号-3'!$Q$15</f>
        <v>0</v>
      </c>
      <c r="P47" s="377"/>
      <c r="R47" s="323"/>
      <c r="S47" s="323"/>
      <c r="T47" s="329"/>
    </row>
    <row r="48" spans="1:20" ht="21" customHeight="1" x14ac:dyDescent="0.3">
      <c r="A48" s="119"/>
      <c r="B48" s="120" t="s">
        <v>5</v>
      </c>
      <c r="C48" s="121"/>
      <c r="D48" s="672">
        <f>IF(OR($A$50="",SUM($D$46:D47)=$L$50),0,IF(O48+SUM($D$46:D47)&gt;=$L$50,$L$50-SUM($D$46:D47),O48))</f>
        <v>0</v>
      </c>
      <c r="E48" s="675"/>
      <c r="F48" s="120" t="s">
        <v>132</v>
      </c>
      <c r="G48" s="122"/>
      <c r="H48" s="122"/>
      <c r="I48" s="122"/>
      <c r="J48" s="123"/>
      <c r="L48" s="386">
        <f>IF($D46+$D47&gt;D50,0,IF($D46+$D47+D48&lt;D50,D48,D50-$D46-$D47))</f>
        <v>0</v>
      </c>
      <c r="M48" s="323"/>
      <c r="N48" s="353"/>
      <c r="O48" s="376">
        <f>'11号-4'!$O$15</f>
        <v>0</v>
      </c>
      <c r="P48" s="377"/>
      <c r="R48" s="431" t="s">
        <v>245</v>
      </c>
      <c r="S48" s="323"/>
      <c r="T48" s="329"/>
    </row>
    <row r="49" spans="1:20" ht="21" customHeight="1" x14ac:dyDescent="0.3">
      <c r="A49" s="534"/>
      <c r="B49" s="120" t="s">
        <v>2</v>
      </c>
      <c r="C49" s="121"/>
      <c r="D49" s="672">
        <f>IF(OR($A$50="",SUM($D$46:D48)=$L$50),0,IF(O49+SUM($D$46:D48)&gt;=$L$50,$L$50-SUM($D$46:D48),O49))</f>
        <v>0</v>
      </c>
      <c r="E49" s="673"/>
      <c r="F49" s="120" t="s">
        <v>133</v>
      </c>
      <c r="G49" s="122"/>
      <c r="H49" s="122"/>
      <c r="I49" s="122"/>
      <c r="J49" s="123"/>
      <c r="L49" s="386">
        <f>IF($D46+$D47+$D48&gt;D50,0,IF($D46+$D47+$D48+D49&lt;D50,D49,D50-$D46-$D47-$D48))</f>
        <v>0</v>
      </c>
      <c r="M49" s="323"/>
      <c r="N49" s="353"/>
      <c r="O49" s="376">
        <f>'11号-5'!$I$26</f>
        <v>0</v>
      </c>
      <c r="P49" s="377"/>
      <c r="R49" s="428" t="s">
        <v>242</v>
      </c>
      <c r="S49" s="323"/>
      <c r="T49" s="329"/>
    </row>
    <row r="50" spans="1:20" ht="15" customHeight="1" thickBot="1" x14ac:dyDescent="0.35">
      <c r="A50" s="676" t="str">
        <f>IF(ISERROR(IF('10号'!U29="","",MONTH('10号'!U29))),"",IF('10号'!U29="","",MONTH('10号'!U29)))</f>
        <v/>
      </c>
      <c r="B50" s="679" t="s">
        <v>27</v>
      </c>
      <c r="C50" s="680"/>
      <c r="D50" s="683">
        <f>IF($A$50="",0,IF(SUM($D$46:E49)&lt;=$L$50,SUM($D$46:E49),$L$50))</f>
        <v>0</v>
      </c>
      <c r="E50" s="684"/>
      <c r="F50" s="670" t="str">
        <f>IF('10号'!$Q$3=TRUE,"  ←　月計の上限額122,000円","  ←　月計の上限額97,000円")</f>
        <v xml:space="preserve">  ←　月計の上限額97,000円</v>
      </c>
      <c r="G50" s="671"/>
      <c r="H50" s="671"/>
      <c r="I50" s="668"/>
      <c r="J50" s="669"/>
      <c r="L50" s="379">
        <f>IF('10号'!$Q$3=TRUE,122000,97000)</f>
        <v>97000</v>
      </c>
      <c r="M50" s="323"/>
      <c r="N50" s="353"/>
      <c r="O50" s="376"/>
      <c r="P50" s="377"/>
      <c r="R50" s="429" t="s">
        <v>243</v>
      </c>
      <c r="S50" s="323"/>
      <c r="T50" s="326"/>
    </row>
    <row r="51" spans="1:20" ht="30" customHeight="1" thickBot="1" x14ac:dyDescent="0.35">
      <c r="A51" s="676"/>
      <c r="B51" s="681"/>
      <c r="C51" s="682"/>
      <c r="D51" s="685"/>
      <c r="E51" s="686"/>
      <c r="F51" s="658"/>
      <c r="G51" s="659"/>
      <c r="H51" s="659"/>
      <c r="I51" s="659"/>
      <c r="J51" s="660"/>
      <c r="L51" s="380"/>
      <c r="M51" s="339" t="str">
        <f>'10号'!U29</f>
        <v/>
      </c>
      <c r="N51" s="353"/>
      <c r="O51" s="376"/>
      <c r="P51" s="377"/>
      <c r="R51" s="430" t="s">
        <v>244</v>
      </c>
      <c r="S51" s="323"/>
      <c r="T51" s="331"/>
    </row>
    <row r="52" spans="1:20" ht="21" customHeight="1" thickBot="1" x14ac:dyDescent="0.3">
      <c r="A52" s="119"/>
      <c r="B52" s="120" t="s">
        <v>30</v>
      </c>
      <c r="C52" s="492"/>
      <c r="D52" s="674">
        <f>IF($A$50="",0,P52)</f>
        <v>0</v>
      </c>
      <c r="E52" s="675"/>
      <c r="F52" s="661" t="str">
        <f>IF('10号'!$Q$3=TRUE,"  ←　年度上限　420,000円","  ←　年度上限　120,000円")</f>
        <v xml:space="preserve">  ←　年度上限　120,000円</v>
      </c>
      <c r="G52" s="662"/>
      <c r="H52" s="662"/>
      <c r="I52" s="663"/>
      <c r="J52" s="664"/>
      <c r="L52" s="409"/>
      <c r="M52" s="405"/>
      <c r="N52" s="353"/>
      <c r="O52" s="376"/>
      <c r="P52" s="384">
        <f>IF($A50="",0,IF(T34=13,MAX(0,MIN(Q52,R52-P43-P34)),IF(T43=13,MIN(Q52,R52-P43),IF(T52=13,Q52,MAX(IF((P$16+P$25+P$34+Q52)&gt;=R52,R52-P$16-P$25-P$34,Q52),0)))))</f>
        <v>0</v>
      </c>
      <c r="Q52" s="385">
        <f>MIN('11号-6'!$O15,R52)</f>
        <v>0</v>
      </c>
      <c r="R52" s="379">
        <f>IF('10号'!$Q$3=TRUE,420000,120000)</f>
        <v>120000</v>
      </c>
      <c r="S52" s="324" t="str">
        <f>A50</f>
        <v/>
      </c>
      <c r="T52" s="319" t="str">
        <f>IFERROR(DATEDIF('10号'!$U$10,M51,"M")+1,"")</f>
        <v/>
      </c>
    </row>
    <row r="53" spans="1:20" ht="21" customHeight="1" x14ac:dyDescent="0.25">
      <c r="A53" s="119"/>
      <c r="B53" s="120" t="s">
        <v>20</v>
      </c>
      <c r="C53" s="125"/>
      <c r="D53" s="674">
        <f>IF($A$50="",0,N53)</f>
        <v>0</v>
      </c>
      <c r="E53" s="675"/>
      <c r="F53" s="335" t="s">
        <v>52</v>
      </c>
      <c r="G53" s="336"/>
      <c r="H53" s="336"/>
      <c r="I53" s="336"/>
      <c r="J53" s="337"/>
      <c r="L53" s="410"/>
      <c r="M53" s="323">
        <f>COUNTIF($N$17:N53,"&gt;1")</f>
        <v>0</v>
      </c>
      <c r="N53" s="352">
        <f>MIN(30000,'11号-7'!O15+0)</f>
        <v>0</v>
      </c>
      <c r="O53" s="383"/>
      <c r="P53" s="399" t="s">
        <v>194</v>
      </c>
      <c r="Q53" s="400">
        <f>Q44+P52</f>
        <v>0</v>
      </c>
      <c r="R53" s="323"/>
      <c r="S53" s="323"/>
      <c r="T53" s="332"/>
    </row>
    <row r="54" spans="1:20" ht="21" customHeight="1" thickBot="1" x14ac:dyDescent="0.35">
      <c r="A54" s="126"/>
      <c r="B54" s="677" t="str">
        <f>A50&amp;"月計"</f>
        <v>月計</v>
      </c>
      <c r="C54" s="678"/>
      <c r="D54" s="700">
        <f>SUM(D50:E53)</f>
        <v>0</v>
      </c>
      <c r="E54" s="690"/>
      <c r="F54" s="665"/>
      <c r="G54" s="666"/>
      <c r="H54" s="666"/>
      <c r="I54" s="666"/>
      <c r="J54" s="667"/>
      <c r="L54" s="411"/>
      <c r="M54" s="325"/>
      <c r="N54" s="406"/>
      <c r="O54" s="407"/>
      <c r="P54" s="390"/>
      <c r="Q54" s="391"/>
      <c r="R54" s="325"/>
      <c r="S54" s="325"/>
      <c r="T54" s="327"/>
    </row>
    <row r="55" spans="1:20" ht="21" customHeight="1" x14ac:dyDescent="0.3">
      <c r="A55" s="720" t="s">
        <v>168</v>
      </c>
      <c r="B55" s="115" t="s">
        <v>1</v>
      </c>
      <c r="C55" s="116"/>
      <c r="D55" s="712">
        <f>SUM(D37,D28,D19,D10,D46)</f>
        <v>0</v>
      </c>
      <c r="E55" s="713"/>
      <c r="F55" s="714"/>
      <c r="G55" s="715"/>
      <c r="H55" s="715"/>
      <c r="I55" s="715"/>
      <c r="J55" s="716"/>
      <c r="L55" s="323"/>
      <c r="M55" s="323"/>
      <c r="N55" s="353"/>
      <c r="O55" s="376"/>
    </row>
    <row r="56" spans="1:20" ht="21" customHeight="1" x14ac:dyDescent="0.3">
      <c r="A56" s="721"/>
      <c r="B56" s="120" t="s">
        <v>4</v>
      </c>
      <c r="C56" s="121"/>
      <c r="D56" s="691">
        <f>L11+L20+L29+L38+L47</f>
        <v>0</v>
      </c>
      <c r="E56" s="692"/>
      <c r="F56" s="717"/>
      <c r="G56" s="718"/>
      <c r="H56" s="718"/>
      <c r="I56" s="718"/>
      <c r="J56" s="719"/>
      <c r="N56" s="353"/>
      <c r="O56" s="376"/>
    </row>
    <row r="57" spans="1:20" ht="21" customHeight="1" x14ac:dyDescent="0.3">
      <c r="A57" s="721"/>
      <c r="B57" s="120" t="s">
        <v>5</v>
      </c>
      <c r="C57" s="121"/>
      <c r="D57" s="691">
        <f>L12+L21+L30+L39+L48</f>
        <v>0</v>
      </c>
      <c r="E57" s="692"/>
      <c r="F57" s="717"/>
      <c r="G57" s="718"/>
      <c r="H57" s="718"/>
      <c r="I57" s="718"/>
      <c r="J57" s="719"/>
    </row>
    <row r="58" spans="1:20" ht="21" customHeight="1" x14ac:dyDescent="0.3">
      <c r="A58" s="721"/>
      <c r="B58" s="120" t="s">
        <v>2</v>
      </c>
      <c r="C58" s="121"/>
      <c r="D58" s="691">
        <f>L13+L22+L31+L40+L49</f>
        <v>0</v>
      </c>
      <c r="E58" s="692"/>
      <c r="F58" s="717"/>
      <c r="G58" s="718"/>
      <c r="H58" s="718"/>
      <c r="I58" s="718"/>
      <c r="J58" s="719"/>
      <c r="N58" s="367"/>
      <c r="O58" s="367"/>
      <c r="P58" s="412"/>
    </row>
    <row r="59" spans="1:20" ht="21" customHeight="1" x14ac:dyDescent="0.3">
      <c r="A59" s="721"/>
      <c r="B59" s="693" t="s">
        <v>27</v>
      </c>
      <c r="C59" s="694"/>
      <c r="D59" s="710">
        <f>D14+D23+D32+D41+D50</f>
        <v>0</v>
      </c>
      <c r="E59" s="711"/>
      <c r="F59" s="705" t="s">
        <v>290</v>
      </c>
      <c r="G59" s="706"/>
      <c r="H59" s="707" t="str">
        <f>IF('10号'!$Q$3=TRUE,"122,000円（※1）×月数","97,000円（※1）×月数")</f>
        <v>97,000円（※1）×月数</v>
      </c>
      <c r="I59" s="707"/>
      <c r="J59" s="708"/>
      <c r="L59" s="413"/>
      <c r="N59" s="367"/>
      <c r="O59" s="367"/>
      <c r="P59" s="412"/>
    </row>
    <row r="60" spans="1:20" ht="21" customHeight="1" x14ac:dyDescent="0.3">
      <c r="A60" s="721"/>
      <c r="B60" s="120" t="s">
        <v>30</v>
      </c>
      <c r="C60" s="125"/>
      <c r="D60" s="691">
        <f>IF(A14="",0,SUM(D16,D25,D34,D43,D52))</f>
        <v>0</v>
      </c>
      <c r="E60" s="692"/>
      <c r="F60" s="705" t="s">
        <v>291</v>
      </c>
      <c r="G60" s="706"/>
      <c r="H60" s="707" t="str">
        <f>IF('10号'!$Q$3=TRUE,"420,000円（※2）","120,000円（※2）")</f>
        <v>120,000円（※2）</v>
      </c>
      <c r="I60" s="707"/>
      <c r="J60" s="547"/>
      <c r="N60" s="367"/>
      <c r="O60" s="367"/>
      <c r="P60" s="412"/>
      <c r="S60" s="289"/>
    </row>
    <row r="61" spans="1:20" ht="21" customHeight="1" x14ac:dyDescent="0.45">
      <c r="A61" s="721"/>
      <c r="B61" s="120" t="s">
        <v>20</v>
      </c>
      <c r="C61" s="125"/>
      <c r="D61" s="691">
        <f>SUM(D44,D35,D26,D17,D53)</f>
        <v>0</v>
      </c>
      <c r="E61" s="692"/>
      <c r="F61" s="338" t="s">
        <v>228</v>
      </c>
      <c r="G61" s="283"/>
      <c r="H61" s="283"/>
      <c r="I61" s="333"/>
      <c r="J61" s="284"/>
      <c r="M61" s="323"/>
      <c r="N61" s="367"/>
      <c r="O61" s="367"/>
      <c r="P61" s="412"/>
      <c r="R61" s="414"/>
    </row>
    <row r="62" spans="1:20" ht="21.75" customHeight="1" thickBot="1" x14ac:dyDescent="0.35">
      <c r="A62" s="722"/>
      <c r="B62" s="677" t="s">
        <v>31</v>
      </c>
      <c r="C62" s="678"/>
      <c r="D62" s="700">
        <f>SUM(D59:E61)</f>
        <v>0</v>
      </c>
      <c r="E62" s="690"/>
      <c r="F62" s="285"/>
      <c r="G62" s="286"/>
      <c r="H62" s="286"/>
      <c r="I62" s="286"/>
      <c r="J62" s="287"/>
    </row>
    <row r="63" spans="1:20" ht="6.75" customHeight="1" x14ac:dyDescent="0.3">
      <c r="A63" s="559"/>
      <c r="B63" s="560"/>
      <c r="C63" s="560"/>
      <c r="D63" s="561"/>
      <c r="E63" s="561"/>
      <c r="F63" s="562"/>
      <c r="G63" s="562"/>
      <c r="H63" s="562"/>
      <c r="I63" s="562"/>
      <c r="J63" s="563"/>
    </row>
    <row r="64" spans="1:20" ht="15.75" customHeight="1" x14ac:dyDescent="0.3">
      <c r="A64" s="565" t="str">
        <f>CONCATENATE("※1 月額上限",IF('10号'!$Q$3=TRUE,"122,000円","97,000円"))</f>
        <v>※1 月額上限97,000円</v>
      </c>
      <c r="B64" s="560"/>
      <c r="C64" s="560"/>
      <c r="D64" s="561"/>
      <c r="E64" s="561"/>
      <c r="F64" s="562"/>
      <c r="G64" s="562"/>
      <c r="H64" s="562"/>
      <c r="I64" s="562"/>
      <c r="J64" s="563"/>
      <c r="K64" s="564"/>
    </row>
    <row r="65" spans="1:14" ht="15.75" customHeight="1" x14ac:dyDescent="0.3">
      <c r="A65" s="565" t="str">
        <f>CONCATENATE("※2 年間上限",IF('10号'!$Q$3=TRUE,"420,000円","120,000円"))</f>
        <v>※2 年間上限120,000円</v>
      </c>
      <c r="B65" s="548"/>
      <c r="C65" s="548"/>
      <c r="D65" s="548"/>
      <c r="E65" s="548"/>
      <c r="F65" s="548"/>
      <c r="G65" s="548"/>
      <c r="H65" s="548"/>
      <c r="I65" s="548"/>
      <c r="J65" s="548"/>
      <c r="N65" s="270"/>
    </row>
    <row r="66" spans="1:14" ht="15.75" customHeight="1" x14ac:dyDescent="0.3">
      <c r="A66" s="565" t="str">
        <f>CONCATENATE("（※1※2の合計は年間上限",IF('10号'!$Q$3=TRUE,"1,500,000円","1,200,000円"),"）")</f>
        <v>（※1※2の合計は年間上限1,200,000円）</v>
      </c>
      <c r="B66" s="548"/>
      <c r="C66" s="548"/>
      <c r="D66" s="548"/>
      <c r="E66" s="548"/>
      <c r="F66" s="548"/>
      <c r="G66" s="548"/>
      <c r="H66" s="548"/>
      <c r="I66" s="548"/>
      <c r="J66" s="548"/>
      <c r="K66" s="316"/>
      <c r="N66" s="270"/>
    </row>
    <row r="67" spans="1:14" ht="21.95" customHeight="1" x14ac:dyDescent="0.3">
      <c r="A67" s="548"/>
      <c r="B67" s="548"/>
      <c r="C67" s="548"/>
      <c r="D67" s="548"/>
      <c r="E67" s="548"/>
      <c r="F67" s="548"/>
      <c r="G67" s="548"/>
      <c r="H67" s="548"/>
      <c r="I67" s="548"/>
      <c r="J67" s="548"/>
      <c r="N67" s="270"/>
    </row>
    <row r="68" spans="1:14" ht="9.75" customHeight="1" x14ac:dyDescent="0.3">
      <c r="A68" s="548"/>
      <c r="B68" s="548"/>
      <c r="C68" s="548"/>
      <c r="D68" s="548"/>
      <c r="E68" s="548"/>
      <c r="F68" s="548"/>
      <c r="G68" s="548"/>
      <c r="H68" s="548"/>
      <c r="I68" s="548"/>
      <c r="J68" s="548"/>
      <c r="N68" s="270"/>
    </row>
  </sheetData>
  <sheetProtection password="ECA8" sheet="1" objects="1" scenarios="1" selectLockedCells="1" selectUnlockedCells="1"/>
  <mergeCells count="107">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s>
  <phoneticPr fontId="2"/>
  <conditionalFormatting sqref="A37:J40 A42:J42 A41:E41 F41:J41 A44:J45 A43:E43 F43:J43">
    <cfRule type="expression" dxfId="8" priority="3">
      <formula>AND($A$41="",$A$14&lt;&gt;"")</formula>
    </cfRule>
  </conditionalFormatting>
  <conditionalFormatting sqref="A46:J49 A51:J51 A50:E50 F50:J50 A53:J54 A52:E52 F52:J52">
    <cfRule type="expression" dxfId="7" priority="2">
      <formula>AND($A$50="",$A$14&lt;&gt;"")</formula>
    </cfRule>
  </conditionalFormatting>
  <conditionalFormatting sqref="A28:J36">
    <cfRule type="expression" dxfId="6" priority="1">
      <formula>AND($A$32="",$A$14&lt;&gt;"")</formula>
    </cfRule>
  </conditionalFormatting>
  <printOptions horizontalCentered="1" verticalCentered="1"/>
  <pageMargins left="0.15748031496062992" right="0.15748031496062992" top="0.27559055118110237" bottom="0.27559055118110237" header="0.15748031496062992" footer="0.15748031496062992"/>
  <pageSetup paperSize="9" scale="6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A137" sqref="A137:AA13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7" hidden="1" customWidth="1"/>
    <col min="34" max="35" width="9.25" style="208" hidden="1" customWidth="1"/>
    <col min="36" max="36" width="15.625" style="208" hidden="1" customWidth="1"/>
    <col min="37" max="37" width="9.7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〈令和２年度第１回〉</v>
      </c>
      <c r="AG3" s="441" t="str">
        <f>IF('10号'!$J$4="","",INDEX('10号'!$U$9:'10号'!$U$20,MATCH('10号'!$J$4,'10号'!$T$9:'10号'!$T$20,0)))</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72"/>
      <c r="T5" s="472"/>
      <c r="U5" s="472"/>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520"/>
      <c r="E9" s="521"/>
      <c r="F9" s="521"/>
      <c r="G9" s="521"/>
      <c r="H9" s="521"/>
      <c r="I9" s="521"/>
      <c r="J9" s="521"/>
      <c r="K9" s="521"/>
      <c r="L9" s="521"/>
      <c r="M9" s="521"/>
      <c r="N9" s="521"/>
      <c r="O9" s="521"/>
      <c r="P9" s="521"/>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1"/>
      <c r="T48" s="481"/>
      <c r="U48" s="481"/>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3.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1"/>
      <c r="T90" s="481"/>
      <c r="U90" s="481"/>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2"/>
      <c r="T136" s="482"/>
      <c r="U136" s="482"/>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7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7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3">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F36" sqref="F36"/>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〈令和２年度第１回〉</v>
      </c>
      <c r="AG3" s="441" t="str">
        <f>IF('10号'!$J$4="","",'10号'!$U$26)</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86"/>
      <c r="T5" s="486"/>
      <c r="U5" s="486"/>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520"/>
      <c r="E9" s="521"/>
      <c r="F9" s="521"/>
      <c r="G9" s="521"/>
      <c r="H9" s="521"/>
      <c r="I9" s="521"/>
      <c r="J9" s="521"/>
      <c r="K9" s="521"/>
      <c r="L9" s="521"/>
      <c r="M9" s="521"/>
      <c r="N9" s="521"/>
      <c r="O9" s="521"/>
      <c r="P9" s="521"/>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6"/>
      <c r="T48" s="486"/>
      <c r="U48" s="486"/>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6"/>
      <c r="T90" s="486"/>
      <c r="U90" s="486"/>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861" t="s">
        <v>248</v>
      </c>
      <c r="D127" s="457"/>
      <c r="E127" s="737" t="s">
        <v>202</v>
      </c>
      <c r="F127" s="457"/>
      <c r="G127" s="737" t="s">
        <v>251</v>
      </c>
      <c r="H127" s="457"/>
      <c r="I127" s="737" t="s">
        <v>202</v>
      </c>
      <c r="J127" s="457"/>
      <c r="K127" s="737" t="s">
        <v>252</v>
      </c>
      <c r="L127" s="857" t="s">
        <v>203</v>
      </c>
      <c r="M127" s="458"/>
      <c r="N127" s="859" t="s">
        <v>253</v>
      </c>
      <c r="O127" s="457"/>
      <c r="P127" s="859" t="s">
        <v>252</v>
      </c>
      <c r="Q127" s="857" t="s">
        <v>254</v>
      </c>
      <c r="R127" s="469" t="str">
        <f>IF(OR(D127="",A127=""),"",HOUR(AJ127))</f>
        <v/>
      </c>
      <c r="S127" s="859" t="s">
        <v>253</v>
      </c>
      <c r="T127" s="460" t="str">
        <f>IF(OR(D127="",A127=""),"",MINUTE(AJ127))</f>
        <v/>
      </c>
      <c r="U127" s="859" t="s">
        <v>252</v>
      </c>
      <c r="V127" s="85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862"/>
      <c r="D128" s="462"/>
      <c r="E128" s="738"/>
      <c r="F128" s="462"/>
      <c r="G128" s="738"/>
      <c r="H128" s="462"/>
      <c r="I128" s="738"/>
      <c r="J128" s="462"/>
      <c r="K128" s="738"/>
      <c r="L128" s="858"/>
      <c r="M128" s="463"/>
      <c r="N128" s="860"/>
      <c r="O128" s="462"/>
      <c r="P128" s="860"/>
      <c r="Q128" s="858"/>
      <c r="R128" s="468" t="str">
        <f>IF(OR(D128="",A127=""),"",HOUR(AJ128))</f>
        <v/>
      </c>
      <c r="S128" s="860"/>
      <c r="T128" s="464" t="str">
        <f>IF(OR(D128="",A127=""),"",MINUTE(AJ128))</f>
        <v/>
      </c>
      <c r="U128" s="860"/>
      <c r="V128" s="85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861" t="s">
        <v>248</v>
      </c>
      <c r="D131" s="457"/>
      <c r="E131" s="737" t="s">
        <v>202</v>
      </c>
      <c r="F131" s="457"/>
      <c r="G131" s="737" t="s">
        <v>251</v>
      </c>
      <c r="H131" s="457"/>
      <c r="I131" s="737" t="s">
        <v>202</v>
      </c>
      <c r="J131" s="457"/>
      <c r="K131" s="737" t="s">
        <v>252</v>
      </c>
      <c r="L131" s="855" t="s">
        <v>203</v>
      </c>
      <c r="M131" s="458"/>
      <c r="N131" s="859" t="s">
        <v>253</v>
      </c>
      <c r="O131" s="457"/>
      <c r="P131" s="859" t="s">
        <v>252</v>
      </c>
      <c r="Q131" s="855" t="s">
        <v>254</v>
      </c>
      <c r="R131" s="469" t="str">
        <f>IF(OR(D131="",A131=""),"",HOUR(AJ131))</f>
        <v/>
      </c>
      <c r="S131" s="859" t="s">
        <v>253</v>
      </c>
      <c r="T131" s="460" t="str">
        <f>IF(OR(D131="",A131=""),"",MINUTE(AJ131))</f>
        <v/>
      </c>
      <c r="U131" s="859" t="s">
        <v>252</v>
      </c>
      <c r="V131" s="85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862"/>
      <c r="D132" s="462"/>
      <c r="E132" s="738"/>
      <c r="F132" s="462"/>
      <c r="G132" s="738"/>
      <c r="H132" s="462"/>
      <c r="I132" s="738"/>
      <c r="J132" s="462"/>
      <c r="K132" s="738"/>
      <c r="L132" s="856"/>
      <c r="M132" s="463"/>
      <c r="N132" s="860"/>
      <c r="O132" s="462"/>
      <c r="P132" s="860"/>
      <c r="Q132" s="856"/>
      <c r="R132" s="468" t="str">
        <f>IF(OR(D132="",A131=""),"",HOUR(AJ132))</f>
        <v/>
      </c>
      <c r="S132" s="860"/>
      <c r="T132" s="464" t="str">
        <f>IF(OR(D132="",A131=""),"",MINUTE(AJ132))</f>
        <v/>
      </c>
      <c r="U132" s="860"/>
      <c r="V132" s="85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3">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Z8" sqref="Z8:AA8"/>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5" t="str">
        <f>'10号'!$L$3</f>
        <v>〈令和２年度第１回〉</v>
      </c>
      <c r="AG3" s="441" t="str">
        <f>IF('10号'!$J$4="","",'10号'!$U$27)</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86"/>
      <c r="T5" s="486"/>
      <c r="U5" s="486"/>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520"/>
      <c r="E9" s="521"/>
      <c r="F9" s="521"/>
      <c r="G9" s="521"/>
      <c r="H9" s="521"/>
      <c r="I9" s="521"/>
      <c r="J9" s="521"/>
      <c r="K9" s="521"/>
      <c r="L9" s="521"/>
      <c r="M9" s="521"/>
      <c r="N9" s="521"/>
      <c r="O9" s="521"/>
      <c r="P9" s="521"/>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6"/>
      <c r="T48" s="486"/>
      <c r="U48" s="486"/>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6"/>
      <c r="T90" s="486"/>
      <c r="U90" s="486"/>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3">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126" sqref="D126:AA126"/>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〈令和２年度第１回〉</v>
      </c>
      <c r="AG3" s="441" t="str">
        <f>IF('10号'!$J$4="","",'10号'!$U$28)</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86"/>
      <c r="T5" s="486"/>
      <c r="U5" s="486"/>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863" t="str">
        <f>IF(AND(AG3="",'10号'!J4=""),"",IF(AG3="","このページは入力不要です",""))</f>
        <v/>
      </c>
      <c r="E9" s="864"/>
      <c r="F9" s="864"/>
      <c r="G9" s="864"/>
      <c r="H9" s="864"/>
      <c r="I9" s="864"/>
      <c r="J9" s="864"/>
      <c r="K9" s="864"/>
      <c r="L9" s="864"/>
      <c r="M9" s="864"/>
      <c r="N9" s="864"/>
      <c r="O9" s="864"/>
      <c r="P9" s="864"/>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6"/>
      <c r="T48" s="486"/>
      <c r="U48" s="486"/>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6"/>
      <c r="T90" s="486"/>
      <c r="U90" s="486"/>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4">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14" sqref="D14:AA14"/>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〈令和２年度第１回〉</v>
      </c>
      <c r="AG3" s="441" t="str">
        <f>IF('10号'!$J$4="","",'10号'!$U$29)</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93"/>
      <c r="T5" s="493"/>
      <c r="U5" s="493"/>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IF(OR(H7="",J7=""),0,TIME(H7,J7,0))</f>
        <v>0</v>
      </c>
      <c r="AI7" s="445">
        <f>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IF(OR(H8="",J8=""),0,TIME(H8,J8,0))</f>
        <v>0</v>
      </c>
      <c r="AI8" s="445">
        <f>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863" t="str">
        <f>IF(AND(AG3="",'10号'!J4=""),"",IF(AG3="","このページは入力不要です",""))</f>
        <v/>
      </c>
      <c r="E9" s="864"/>
      <c r="F9" s="864"/>
      <c r="G9" s="864"/>
      <c r="H9" s="864"/>
      <c r="I9" s="864"/>
      <c r="J9" s="864"/>
      <c r="K9" s="864"/>
      <c r="L9" s="864"/>
      <c r="M9" s="864"/>
      <c r="N9" s="864"/>
      <c r="O9" s="864"/>
      <c r="P9" s="864"/>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IF(OR(H11="",J11=""),0,TIME(H11,J11,0))</f>
        <v>0</v>
      </c>
      <c r="AI11" s="445">
        <f>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IF(OR(H12="",J12=""),0,TIME(H12,J12,0))</f>
        <v>0</v>
      </c>
      <c r="AI12" s="445">
        <f>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IF(OR(H15="",J15=""),0,TIME(H15,J15,0))</f>
        <v>0</v>
      </c>
      <c r="AI15" s="445">
        <f>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IF(OR(H16="",J16=""),0,TIME(H16,J16,0))</f>
        <v>0</v>
      </c>
      <c r="AI16" s="445">
        <f>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IF(OR(H19="",J19=""),0,TIME(H19,J19,0))</f>
        <v>0</v>
      </c>
      <c r="AI19" s="445">
        <f>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IF(OR(H20="",J20=""),0,TIME(H20,J20,0))</f>
        <v>0</v>
      </c>
      <c r="AI20" s="445">
        <f>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IF(OR(H23="",J23=""),0,TIME(H23,J23,0))</f>
        <v>0</v>
      </c>
      <c r="AI23" s="445">
        <f>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IF(OR(H24="",J24=""),0,TIME(H24,J24,0))</f>
        <v>0</v>
      </c>
      <c r="AI24" s="445">
        <f>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IF(OR(H27="",J27=""),0,TIME(H27,J27,0))</f>
        <v>0</v>
      </c>
      <c r="AI27" s="445">
        <f>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IF(OR(H28="",J28=""),0,TIME(H28,J28,0))</f>
        <v>0</v>
      </c>
      <c r="AI28" s="445">
        <f>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IF(OR(H31="",J31=""),0,TIME(H31,J31,0))</f>
        <v>0</v>
      </c>
      <c r="AI31" s="445">
        <f>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IF(OR(H32="",J32=""),0,TIME(H32,J32,0))</f>
        <v>0</v>
      </c>
      <c r="AI32" s="445">
        <f>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IF(OR(H35="",J35=""),0,TIME(H35,J35,0))</f>
        <v>0</v>
      </c>
      <c r="AI35" s="445">
        <f>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IF(OR(H36="",J36=""),0,TIME(H36,J36,0))</f>
        <v>0</v>
      </c>
      <c r="AI36" s="445">
        <f>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IF(OR(H39="",J39=""),0,TIME(H39,J39,0))</f>
        <v>0</v>
      </c>
      <c r="AI39" s="445">
        <f>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IF(OR(H40="",J40=""),0,TIME(H40,J40,0))</f>
        <v>0</v>
      </c>
      <c r="AI40" s="445">
        <f>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IF(OR(H43="",J43=""),0,TIME(H43,J43,0))</f>
        <v>0</v>
      </c>
      <c r="AI43" s="445">
        <f>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IF(OR(H44="",J44=""),0,TIME(H44,J44,0))</f>
        <v>0</v>
      </c>
      <c r="AI44" s="445">
        <f>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93"/>
      <c r="T48" s="493"/>
      <c r="U48" s="493"/>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IF(OR(H49="",J49=""),0,TIME(H49,J49,0))</f>
        <v>0</v>
      </c>
      <c r="AI49" s="445">
        <f>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IF(OR(H50="",J50=""),0,TIME(H50,J50,0))</f>
        <v>0</v>
      </c>
      <c r="AI50" s="445">
        <f>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IF(OR(H53="",J53=""),0,TIME(H53,J53,0))</f>
        <v>0</v>
      </c>
      <c r="AI53" s="445">
        <f>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IF(OR(H54="",J54=""),0,TIME(H54,J54,0))</f>
        <v>0</v>
      </c>
      <c r="AI54" s="445">
        <f>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IF(OR(H57="",J57=""),0,TIME(H57,J57,0))</f>
        <v>0</v>
      </c>
      <c r="AI57" s="445">
        <f>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IF(OR(H58="",J58=""),0,TIME(H58,J58,0))</f>
        <v>0</v>
      </c>
      <c r="AI58" s="445">
        <f>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IF(OR(H61="",J61=""),0,TIME(H61,J61,0))</f>
        <v>0</v>
      </c>
      <c r="AI61" s="445">
        <f>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IF(OR(H62="",J62=""),0,TIME(H62,J62,0))</f>
        <v>0</v>
      </c>
      <c r="AI62" s="445">
        <f>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IF(OR(H65="",J65=""),0,TIME(H65,J65,0))</f>
        <v>0</v>
      </c>
      <c r="AI65" s="445">
        <f>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IF(OR(H66="",J66=""),0,TIME(H66,J66,0))</f>
        <v>0</v>
      </c>
      <c r="AI66" s="445">
        <f>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IF(OR(H69="",J69=""),0,TIME(H69,J69,0))</f>
        <v>0</v>
      </c>
      <c r="AI69" s="445">
        <f>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IF(OR(H70="",J70=""),0,TIME(H70,J70,0))</f>
        <v>0</v>
      </c>
      <c r="AI70" s="445">
        <f>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IF(OR(H73="",J73=""),0,TIME(H73,J73,0))</f>
        <v>0</v>
      </c>
      <c r="AI73" s="445">
        <f>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IF(OR(H74="",J74=""),0,TIME(H74,J74,0))</f>
        <v>0</v>
      </c>
      <c r="AI74" s="445">
        <f>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IF(OR(H77="",J77=""),0,TIME(H77,J77,0))</f>
        <v>0</v>
      </c>
      <c r="AI77" s="445">
        <f>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IF(OR(H78="",J78=""),0,TIME(H78,J78,0))</f>
        <v>0</v>
      </c>
      <c r="AI78" s="445">
        <f>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IF(OR(H81="",J81=""),0,TIME(H81,J81,0))</f>
        <v>0</v>
      </c>
      <c r="AI81" s="445">
        <f>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IF(OR(H82="",J82=""),0,TIME(H82,J82,0))</f>
        <v>0</v>
      </c>
      <c r="AI82" s="445">
        <f>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IF(OR(H85="",J85=""),0,TIME(H85,J85,0))</f>
        <v>0</v>
      </c>
      <c r="AI85" s="445">
        <f>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IF(OR(H86="",J86=""),0,TIME(H86,J86,0))</f>
        <v>0</v>
      </c>
      <c r="AI86" s="445">
        <f>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93"/>
      <c r="T90" s="493"/>
      <c r="U90" s="493"/>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IF(OR(H91="",J91=""),0,TIME(H91,J91,0))</f>
        <v>0</v>
      </c>
      <c r="AI91" s="445">
        <f>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IF(OR(H92="",J92=""),0,TIME(H92,J92,0))</f>
        <v>0</v>
      </c>
      <c r="AI92" s="445">
        <f>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IF(OR(H95="",J95=""),0,TIME(H95,J95,0))</f>
        <v>0</v>
      </c>
      <c r="AI95" s="445">
        <f>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IF(OR(H96="",J96=""),0,TIME(H96,J96,0))</f>
        <v>0</v>
      </c>
      <c r="AI96" s="445">
        <f>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IF(OR(H99="",J99=""),0,TIME(H99,J99,0))</f>
        <v>0</v>
      </c>
      <c r="AI99" s="445">
        <f>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IF(OR(H100="",J100=""),0,TIME(H100,J100,0))</f>
        <v>0</v>
      </c>
      <c r="AI100" s="445">
        <f>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IF(OR(H103="",J103=""),0,TIME(H103,J103,0))</f>
        <v>0</v>
      </c>
      <c r="AI103" s="445">
        <f>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IF(OR(H104="",J104=""),0,TIME(H104,J104,0))</f>
        <v>0</v>
      </c>
      <c r="AI104" s="445">
        <f>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IF(OR(H107="",J107=""),0,TIME(H107,J107,0))</f>
        <v>0</v>
      </c>
      <c r="AI107" s="445">
        <f>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IF(OR(H108="",J108=""),0,TIME(H108,J108,0))</f>
        <v>0</v>
      </c>
      <c r="AI108" s="445">
        <f>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IF(OR(H111="",J111=""),0,TIME(H111,J111,0))</f>
        <v>0</v>
      </c>
      <c r="AI111" s="445">
        <f>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IF(OR(H112="",J112=""),0,TIME(H112,J112,0))</f>
        <v>0</v>
      </c>
      <c r="AI112" s="445">
        <f>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IF(OR(H115="",J115=""),0,TIME(H115,J115,0))</f>
        <v>0</v>
      </c>
      <c r="AI115" s="445">
        <f>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IF(OR(H116="",J116=""),0,TIME(H116,J116,0))</f>
        <v>0</v>
      </c>
      <c r="AI116" s="445">
        <f>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IF(OR(H119="",J119=""),0,TIME(H119,J119,0))</f>
        <v>0</v>
      </c>
      <c r="AI119" s="445">
        <f>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IF(OR(H120="",J120=""),0,TIME(H120,J120,0))</f>
        <v>0</v>
      </c>
      <c r="AI120" s="445">
        <f>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IF(OR(H123="",J123=""),0,TIME(H123,J123,0))</f>
        <v>0</v>
      </c>
      <c r="AI123" s="445">
        <f>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IF(OR(H124="",J124=""),0,TIME(H124,J124,0))</f>
        <v>0</v>
      </c>
      <c r="AI124" s="445">
        <f>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IF(OR(H127="",J127=""),0,TIME(H127,J127,0))</f>
        <v>0</v>
      </c>
      <c r="AI127" s="445">
        <f>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IF(OR(H128="",J128=""),0,TIME(H128,J128,0))</f>
        <v>0</v>
      </c>
      <c r="AI128" s="445">
        <f>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IF(OR(H131="",J131=""),0,TIME(H131,J131,0))</f>
        <v>0</v>
      </c>
      <c r="AI131" s="445">
        <f>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IF(OR(H132="",J132=""),0,TIME(H132,J132,0))</f>
        <v>0</v>
      </c>
      <c r="AI132" s="445">
        <f>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9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9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H11" sqref="H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49"/>
    </row>
    <row r="2" spans="1:20" ht="19.5" customHeight="1" x14ac:dyDescent="0.2">
      <c r="A2" s="81"/>
      <c r="B2" s="81"/>
      <c r="C2" s="81"/>
      <c r="D2" s="81"/>
      <c r="E2" s="81"/>
      <c r="F2" s="81"/>
      <c r="G2" s="81"/>
      <c r="H2" s="82" t="str">
        <f>'10号'!L3</f>
        <v>〈令和２年度第１回〉</v>
      </c>
      <c r="K2" s="884"/>
      <c r="L2" s="884"/>
      <c r="M2" s="884"/>
      <c r="P2" s="606"/>
      <c r="Q2" s="606"/>
      <c r="R2" s="606"/>
      <c r="S2" s="606"/>
    </row>
    <row r="3" spans="1:20" ht="30" customHeight="1" x14ac:dyDescent="0.2">
      <c r="A3" s="83" t="s">
        <v>134</v>
      </c>
      <c r="B3" s="81"/>
      <c r="C3" s="81"/>
      <c r="D3" s="81"/>
      <c r="E3" s="81"/>
      <c r="F3" s="81"/>
      <c r="G3" s="81"/>
      <c r="H3" s="84"/>
      <c r="I3" s="224"/>
      <c r="K3" s="885"/>
      <c r="L3" s="885"/>
      <c r="M3" s="885"/>
    </row>
    <row r="4" spans="1:20" ht="23.25" customHeight="1" x14ac:dyDescent="0.2">
      <c r="A4" s="85" t="str">
        <f>"（２）外部講師等謝金 （ 第 "&amp;'10号'!$J$4&amp;" 回 ）"</f>
        <v>（２）外部講師等謝金 （ 第  回 ）</v>
      </c>
      <c r="B4" s="86"/>
      <c r="C4" s="86"/>
      <c r="D4" s="86"/>
      <c r="E4" s="87"/>
      <c r="F4" s="87"/>
      <c r="G4" s="86"/>
      <c r="H4" s="6"/>
      <c r="K4" s="20"/>
      <c r="L4" s="20"/>
    </row>
    <row r="5" spans="1:20" ht="7.5" customHeight="1" x14ac:dyDescent="0.15">
      <c r="A5" s="89"/>
      <c r="B5" s="89"/>
      <c r="C5" s="89"/>
      <c r="D5" s="81"/>
      <c r="E5" s="81"/>
      <c r="F5" s="81"/>
      <c r="G5" s="81"/>
      <c r="H5" s="90"/>
      <c r="M5" s="15"/>
    </row>
    <row r="6" spans="1:20" ht="23.25" customHeight="1" x14ac:dyDescent="0.2">
      <c r="A6" s="91" t="s">
        <v>17</v>
      </c>
      <c r="B6" s="92"/>
      <c r="C6" s="865" t="str">
        <f>IF('10号'!$G$10="","",'10号'!$G$10)</f>
        <v/>
      </c>
      <c r="D6" s="865"/>
      <c r="E6" s="865"/>
      <c r="F6" s="865"/>
      <c r="G6" s="865"/>
      <c r="H6" s="865"/>
      <c r="I6" s="224"/>
      <c r="J6" s="18"/>
    </row>
    <row r="7" spans="1:20" ht="23.25" customHeight="1" x14ac:dyDescent="0.2">
      <c r="A7" s="91" t="s">
        <v>19</v>
      </c>
      <c r="B7" s="92"/>
      <c r="C7" s="865" t="str">
        <f>IF('10号'!$E$18="","",'10号'!$E$18)</f>
        <v/>
      </c>
      <c r="D7" s="865"/>
      <c r="E7" s="865"/>
      <c r="F7" s="865"/>
      <c r="G7" s="865"/>
      <c r="H7" s="865"/>
      <c r="I7" s="224"/>
      <c r="J7" s="18"/>
    </row>
    <row r="8" spans="1:20" s="15" customFormat="1" ht="23.25" customHeight="1" x14ac:dyDescent="0.2">
      <c r="A8" s="91"/>
      <c r="B8" s="93"/>
      <c r="C8" s="93"/>
      <c r="D8" s="93"/>
      <c r="E8" s="93"/>
      <c r="F8" s="93"/>
      <c r="G8" s="93"/>
      <c r="H8" s="141"/>
    </row>
    <row r="9" spans="1:20" s="15" customFormat="1" ht="14.25" customHeight="1" thickBot="1" x14ac:dyDescent="0.2">
      <c r="A9" s="94"/>
      <c r="B9" s="94"/>
      <c r="C9" s="94"/>
      <c r="D9" s="94"/>
      <c r="E9" s="94"/>
      <c r="F9" s="94"/>
      <c r="G9" s="94"/>
      <c r="H9" s="94"/>
    </row>
    <row r="10" spans="1:20" s="14" customFormat="1" ht="33" customHeight="1" x14ac:dyDescent="0.2">
      <c r="A10" s="142" t="s">
        <v>0</v>
      </c>
      <c r="B10" s="882" t="s">
        <v>12</v>
      </c>
      <c r="C10" s="883"/>
      <c r="D10" s="877" t="s">
        <v>6</v>
      </c>
      <c r="E10" s="878"/>
      <c r="F10" s="879"/>
      <c r="G10" s="143" t="s">
        <v>9</v>
      </c>
      <c r="H10" s="144" t="s">
        <v>7</v>
      </c>
      <c r="N10" s="881" t="str">
        <f>'10号'!$E$6</f>
        <v/>
      </c>
      <c r="O10" s="881"/>
      <c r="P10" s="24" t="s">
        <v>18</v>
      </c>
      <c r="Q10" s="880" t="str">
        <f>'10号'!G6</f>
        <v/>
      </c>
      <c r="R10" s="880"/>
      <c r="S10" s="15"/>
      <c r="T10" s="15"/>
    </row>
    <row r="11" spans="1:20" ht="70.5" customHeight="1" x14ac:dyDescent="0.15">
      <c r="A11" s="507"/>
      <c r="B11" s="866"/>
      <c r="C11" s="867"/>
      <c r="D11" s="871"/>
      <c r="E11" s="872"/>
      <c r="F11" s="873"/>
      <c r="G11" s="495"/>
      <c r="H11" s="496"/>
      <c r="N11" s="74" t="s">
        <v>145</v>
      </c>
      <c r="O11" s="73" t="str">
        <f>'10号'!$U$25</f>
        <v/>
      </c>
      <c r="P11" s="73" t="str">
        <f>'10号'!$V$25</f>
        <v/>
      </c>
      <c r="Q11" s="74">
        <f>SUMPRODUCT(($A$11:$A$18&gt;=$O11)*($A$11:$A$18&lt;=$P11)*$H$11:$H$18)</f>
        <v>0</v>
      </c>
      <c r="R11" s="74"/>
      <c r="S11" s="15"/>
      <c r="T11" s="15"/>
    </row>
    <row r="12" spans="1:20" ht="70.5" customHeight="1" x14ac:dyDescent="0.15">
      <c r="A12" s="507"/>
      <c r="B12" s="866"/>
      <c r="C12" s="867"/>
      <c r="D12" s="871"/>
      <c r="E12" s="872"/>
      <c r="F12" s="873"/>
      <c r="G12" s="495"/>
      <c r="H12" s="496"/>
      <c r="N12" s="74" t="s">
        <v>146</v>
      </c>
      <c r="O12" s="73" t="str">
        <f>'10号'!$U$26</f>
        <v/>
      </c>
      <c r="P12" s="73" t="str">
        <f>'10号'!$V$26</f>
        <v/>
      </c>
      <c r="Q12" s="74">
        <f>SUMPRODUCT(($A$11:$A$18&gt;=$O12)*($A$11:$A$18&lt;=$P12)*$H$11:$H$18)</f>
        <v>0</v>
      </c>
      <c r="R12" s="74"/>
      <c r="S12" s="15"/>
      <c r="T12" s="15"/>
    </row>
    <row r="13" spans="1:20" ht="70.5" customHeight="1" x14ac:dyDescent="0.15">
      <c r="A13" s="507"/>
      <c r="B13" s="866"/>
      <c r="C13" s="867"/>
      <c r="D13" s="871"/>
      <c r="E13" s="872"/>
      <c r="F13" s="873"/>
      <c r="G13" s="495"/>
      <c r="H13" s="496"/>
      <c r="N13" s="74" t="s">
        <v>147</v>
      </c>
      <c r="O13" s="73" t="str">
        <f>'10号'!$U$27</f>
        <v/>
      </c>
      <c r="P13" s="73" t="str">
        <f>'10号'!$V$27</f>
        <v/>
      </c>
      <c r="Q13" s="74">
        <f>SUMPRODUCT(($A$11:$A$18&gt;=$O13)*($A$11:$A$18&lt;=$P13)*$H$11:$H$18)</f>
        <v>0</v>
      </c>
      <c r="R13" s="74"/>
      <c r="S13" s="15"/>
      <c r="T13" s="15"/>
    </row>
    <row r="14" spans="1:20" ht="70.5" customHeight="1" x14ac:dyDescent="0.15">
      <c r="A14" s="507"/>
      <c r="B14" s="866"/>
      <c r="C14" s="867"/>
      <c r="D14" s="871"/>
      <c r="E14" s="872"/>
      <c r="F14" s="873"/>
      <c r="G14" s="495"/>
      <c r="H14" s="496"/>
      <c r="N14" s="74" t="s">
        <v>148</v>
      </c>
      <c r="O14" s="73" t="str">
        <f>'10号'!$U$28</f>
        <v/>
      </c>
      <c r="P14" s="73" t="str">
        <f>'10号'!$V$28</f>
        <v/>
      </c>
      <c r="Q14" s="74">
        <f>SUMPRODUCT(($A$11:$A$18&gt;=$O14)*($A$11:$A$18&lt;=$P14)*$H$11:$H$18)</f>
        <v>0</v>
      </c>
      <c r="R14" s="74">
        <f>SUM(Q11:Q14)</f>
        <v>0</v>
      </c>
      <c r="S14" s="15"/>
      <c r="T14" s="15"/>
    </row>
    <row r="15" spans="1:20" ht="70.5" customHeight="1" x14ac:dyDescent="0.15">
      <c r="A15" s="507"/>
      <c r="B15" s="866"/>
      <c r="C15" s="867"/>
      <c r="D15" s="874"/>
      <c r="E15" s="875"/>
      <c r="F15" s="876"/>
      <c r="G15" s="495"/>
      <c r="H15" s="496"/>
      <c r="N15" s="74" t="s">
        <v>157</v>
      </c>
      <c r="O15" s="73" t="str">
        <f>'10号'!$U29</f>
        <v/>
      </c>
      <c r="P15" s="73" t="str">
        <f>'10号'!$V29</f>
        <v/>
      </c>
      <c r="Q15" s="74">
        <f>SUMPRODUCT(($A$11:$A$22&gt;=$O15)*($A$11:$A$22&lt;=$P15)*$H$11:$H$22)</f>
        <v>0</v>
      </c>
      <c r="S15" s="15"/>
      <c r="T15" s="15"/>
    </row>
    <row r="16" spans="1:20" ht="70.5" customHeight="1" x14ac:dyDescent="0.15">
      <c r="A16" s="507"/>
      <c r="B16" s="866"/>
      <c r="C16" s="867"/>
      <c r="D16" s="874"/>
      <c r="E16" s="875"/>
      <c r="F16" s="876"/>
      <c r="G16" s="495"/>
      <c r="H16" s="496"/>
      <c r="K16" s="14"/>
      <c r="L16" s="14"/>
      <c r="M16" s="14"/>
      <c r="N16" s="74" t="s">
        <v>158</v>
      </c>
      <c r="O16" s="73" t="str">
        <f>'10号'!$U30</f>
        <v/>
      </c>
      <c r="P16" s="73" t="str">
        <f>'10号'!$V30</f>
        <v/>
      </c>
      <c r="Q16" s="74">
        <f t="shared" ref="Q16:Q22" si="0">SUMPRODUCT(($A$11:$A$22&gt;=$O16)*($A$11:$A$22&lt;=$P16)*$H$11:$H$22)</f>
        <v>0</v>
      </c>
    </row>
    <row r="17" spans="1:18" ht="70.5" customHeight="1" x14ac:dyDescent="0.15">
      <c r="A17" s="507"/>
      <c r="B17" s="866"/>
      <c r="C17" s="867"/>
      <c r="D17" s="874"/>
      <c r="E17" s="875"/>
      <c r="F17" s="876"/>
      <c r="G17" s="495"/>
      <c r="H17" s="496"/>
      <c r="N17" s="74" t="s">
        <v>159</v>
      </c>
      <c r="O17" s="73" t="str">
        <f>'10号'!$U31</f>
        <v/>
      </c>
      <c r="P17" s="73" t="str">
        <f>'10号'!$V31</f>
        <v/>
      </c>
      <c r="Q17" s="74">
        <f t="shared" si="0"/>
        <v>0</v>
      </c>
    </row>
    <row r="18" spans="1:18" ht="70.5" customHeight="1" x14ac:dyDescent="0.15">
      <c r="A18" s="507"/>
      <c r="B18" s="866"/>
      <c r="C18" s="867"/>
      <c r="D18" s="874"/>
      <c r="E18" s="875"/>
      <c r="F18" s="876"/>
      <c r="G18" s="497"/>
      <c r="H18" s="496"/>
      <c r="N18" s="74" t="s">
        <v>160</v>
      </c>
      <c r="O18" s="73" t="str">
        <f>'10号'!$U32</f>
        <v/>
      </c>
      <c r="P18" s="73" t="str">
        <f>'10号'!$V32</f>
        <v/>
      </c>
      <c r="Q18" s="74">
        <f t="shared" si="0"/>
        <v>0</v>
      </c>
    </row>
    <row r="19" spans="1:18" s="15" customFormat="1" ht="48" customHeight="1" thickBot="1" x14ac:dyDescent="0.2">
      <c r="A19" s="868" t="s">
        <v>3</v>
      </c>
      <c r="B19" s="869"/>
      <c r="C19" s="869"/>
      <c r="D19" s="869"/>
      <c r="E19" s="869"/>
      <c r="F19" s="870"/>
      <c r="G19" s="66">
        <f>SUMPRODUCT(($A$11:$A$18&gt;=$N$10)*($A$11:$A$18&lt;=$Q$10)*G11:G18)</f>
        <v>0</v>
      </c>
      <c r="H19" s="67">
        <f>SUMPRODUCT(($A$11:$A$18&gt;=$N$10)*($A$11:$A$18&lt;=$Q$10)*H11:H18)</f>
        <v>0</v>
      </c>
      <c r="K19" s="12"/>
      <c r="L19" s="12"/>
      <c r="M19" s="12"/>
      <c r="N19" s="74" t="s">
        <v>161</v>
      </c>
      <c r="O19" s="73" t="str">
        <f>'10号'!$U33</f>
        <v/>
      </c>
      <c r="P19" s="73" t="str">
        <f>'10号'!$V33</f>
        <v/>
      </c>
      <c r="Q19" s="74">
        <f t="shared" si="0"/>
        <v>0</v>
      </c>
      <c r="R19" s="12"/>
    </row>
    <row r="20" spans="1:18" x14ac:dyDescent="0.15">
      <c r="A20" s="23"/>
      <c r="N20" s="74" t="s">
        <v>162</v>
      </c>
      <c r="O20" s="73" t="str">
        <f>'10号'!$U34</f>
        <v/>
      </c>
      <c r="P20" s="73" t="str">
        <f>'10号'!$V34</f>
        <v/>
      </c>
      <c r="Q20" s="74">
        <f t="shared" si="0"/>
        <v>0</v>
      </c>
    </row>
    <row r="21" spans="1:18" x14ac:dyDescent="0.15">
      <c r="A21" s="23"/>
      <c r="N21" s="74" t="s">
        <v>163</v>
      </c>
      <c r="O21" s="73" t="str">
        <f>'10号'!$U35</f>
        <v/>
      </c>
      <c r="P21" s="73" t="str">
        <f>'10号'!$V35</f>
        <v/>
      </c>
      <c r="Q21" s="74">
        <f t="shared" si="0"/>
        <v>0</v>
      </c>
      <c r="R21" s="74">
        <f>SUM(Q11:Q21)</f>
        <v>0</v>
      </c>
    </row>
    <row r="22" spans="1:18" x14ac:dyDescent="0.15">
      <c r="N22" s="74" t="s">
        <v>164</v>
      </c>
      <c r="O22" s="73" t="str">
        <f>'10号'!$U36</f>
        <v/>
      </c>
      <c r="P22" s="73" t="str">
        <f>'10号'!$V36</f>
        <v/>
      </c>
      <c r="Q22" s="74">
        <f t="shared" si="0"/>
        <v>0</v>
      </c>
      <c r="R22" s="74">
        <f>SUM(Q11:Q22)</f>
        <v>0</v>
      </c>
    </row>
    <row r="25" spans="1:18" x14ac:dyDescent="0.15">
      <c r="K25" s="15"/>
      <c r="L25" s="15"/>
      <c r="M25" s="15"/>
      <c r="N25" s="15"/>
      <c r="O25" s="15"/>
      <c r="P25" s="15"/>
      <c r="Q25" s="15"/>
    </row>
  </sheetData>
  <sheetProtection password="ECA8"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2020-05-25T00:13:41Z</cp:lastPrinted>
  <dcterms:created xsi:type="dcterms:W3CDTF">2002-01-11T03:29:33Z</dcterms:created>
  <dcterms:modified xsi:type="dcterms:W3CDTF">2021-06-02T07:51:56Z</dcterms:modified>
</cp:coreProperties>
</file>