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192.168.1.243\maindata\2021-R03\03経営・人材対策部\人材セクション\氷河期雇用事業【令和２年度第３次補正】\一括助成金申請書・実績報告書データ\"/>
    </mc:Choice>
  </mc:AlternateContent>
  <xr:revisionPtr revIDLastSave="0" documentId="13_ncr:1_{4BF168CC-3864-4451-A064-3D38E6926B94}" xr6:coauthVersionLast="46" xr6:coauthVersionMax="46" xr10:uidLastSave="{00000000-0000-0000-0000-000000000000}"/>
  <workbookProtection workbookAlgorithmName="SHA-512" workbookHashValue="Js2baqc3149BiqbT9KtzTkZlCjIXnWaTPpxU5Fk5FPOtsjHAe3FDqUVK+c86j7RDjd6Coq468yj68QqnEeRulw==" workbookSaltValue="rEL8xJ1b6/mZ/W70+uxPsA==" workbookSpinCount="100000" lockStructure="1"/>
  <bookViews>
    <workbookView xWindow="-120" yWindow="-120" windowWidth="19440" windowHeight="15000" tabRatio="748" xr2:uid="{00000000-000D-0000-FFFF-FFFF00000000}"/>
  </bookViews>
  <sheets>
    <sheet name="16号-1" sheetId="19" r:id="rId1"/>
    <sheet name="16号-2①" sheetId="10" r:id="rId2"/>
    <sheet name="16号-2②" sheetId="71" r:id="rId3"/>
    <sheet name="16号-2③" sheetId="72" r:id="rId4"/>
    <sheet name="16号-2④" sheetId="73" r:id="rId5"/>
  </sheets>
  <definedNames>
    <definedName name="_xlnm._FilterDatabase" localSheetId="0" hidden="1">'16号-1'!$W$1:$Y$1</definedName>
    <definedName name="_xlnm._FilterDatabase" localSheetId="1" hidden="1">'16号-2①'!$A$10:$V$68</definedName>
    <definedName name="_xlnm._FilterDatabase" localSheetId="2" hidden="1">'16号-2②'!$A$10:$V$68</definedName>
    <definedName name="_xlnm._FilterDatabase" localSheetId="3" hidden="1">'16号-2③'!$A$10:$V$68</definedName>
    <definedName name="_xlnm._FilterDatabase" localSheetId="4" hidden="1">'16号-2④'!$A$10:$V$68</definedName>
    <definedName name="_xlnm.Print_Area" localSheetId="0">'16号-1'!$A$3:$Q$46</definedName>
    <definedName name="_xlnm.Print_Area" localSheetId="1">'16号-2①'!$A$2:$J$66</definedName>
    <definedName name="_xlnm.Print_Area" localSheetId="2">'16号-2②'!$A$2:$J$66</definedName>
    <definedName name="_xlnm.Print_Area" localSheetId="3">'16号-2③'!$A$2:$J$66</definedName>
    <definedName name="_xlnm.Print_Area" localSheetId="4">'16号-2④'!$A$2:$J$66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6" i="73" l="1"/>
  <c r="S16" i="19"/>
  <c r="S15" i="19"/>
  <c r="M6" i="73" l="1"/>
  <c r="M6" i="72"/>
  <c r="M6" i="71"/>
  <c r="M6" i="10" l="1"/>
  <c r="W10" i="19" l="1"/>
  <c r="L2" i="10"/>
  <c r="A66" i="73"/>
  <c r="A65" i="73"/>
  <c r="A64" i="73"/>
  <c r="H60" i="73"/>
  <c r="H59" i="73"/>
  <c r="F53" i="73"/>
  <c r="P50" i="73"/>
  <c r="F51" i="73" s="1"/>
  <c r="F50" i="73"/>
  <c r="L48" i="73"/>
  <c r="F48" i="73"/>
  <c r="F42" i="73"/>
  <c r="P39" i="73"/>
  <c r="F40" i="73" s="1"/>
  <c r="F39" i="73"/>
  <c r="L37" i="73"/>
  <c r="F37" i="73"/>
  <c r="F31" i="73"/>
  <c r="P28" i="73"/>
  <c r="F29" i="73" s="1"/>
  <c r="F28" i="73"/>
  <c r="L26" i="73"/>
  <c r="F26" i="73"/>
  <c r="F20" i="73"/>
  <c r="F18" i="73"/>
  <c r="P17" i="73"/>
  <c r="F17" i="73"/>
  <c r="L15" i="73"/>
  <c r="F15" i="73"/>
  <c r="C7" i="73"/>
  <c r="C6" i="73"/>
  <c r="L2" i="73"/>
  <c r="A66" i="72"/>
  <c r="A65" i="72"/>
  <c r="A64" i="72"/>
  <c r="H60" i="72"/>
  <c r="H59" i="72"/>
  <c r="F53" i="72"/>
  <c r="F51" i="72"/>
  <c r="P50" i="72"/>
  <c r="F50" i="72"/>
  <c r="L48" i="72"/>
  <c r="F48" i="72"/>
  <c r="F42" i="72"/>
  <c r="F40" i="72"/>
  <c r="P39" i="72"/>
  <c r="F39" i="72"/>
  <c r="L37" i="72"/>
  <c r="F37" i="72"/>
  <c r="F31" i="72"/>
  <c r="F29" i="72"/>
  <c r="P28" i="72"/>
  <c r="F28" i="72"/>
  <c r="L26" i="72"/>
  <c r="F26" i="72"/>
  <c r="F20" i="72"/>
  <c r="F18" i="72"/>
  <c r="P17" i="72"/>
  <c r="F17" i="72"/>
  <c r="L15" i="72"/>
  <c r="F15" i="72"/>
  <c r="C7" i="72"/>
  <c r="C6" i="72"/>
  <c r="L2" i="72"/>
  <c r="A66" i="71"/>
  <c r="A65" i="71"/>
  <c r="A64" i="71"/>
  <c r="H60" i="71"/>
  <c r="H59" i="71"/>
  <c r="F53" i="71"/>
  <c r="F51" i="71"/>
  <c r="P50" i="71"/>
  <c r="F50" i="71"/>
  <c r="L48" i="71"/>
  <c r="F48" i="71"/>
  <c r="F42" i="71"/>
  <c r="F40" i="71"/>
  <c r="P39" i="71"/>
  <c r="F39" i="71"/>
  <c r="L37" i="71"/>
  <c r="F37" i="71"/>
  <c r="F31" i="71"/>
  <c r="F29" i="71"/>
  <c r="P28" i="71"/>
  <c r="F28" i="71"/>
  <c r="L26" i="71"/>
  <c r="F26" i="71"/>
  <c r="F20" i="71"/>
  <c r="P17" i="71"/>
  <c r="F18" i="71" s="1"/>
  <c r="F17" i="71"/>
  <c r="L15" i="71"/>
  <c r="F15" i="71"/>
  <c r="C7" i="71"/>
  <c r="C6" i="71"/>
  <c r="L2" i="71"/>
  <c r="F53" i="10"/>
  <c r="F50" i="10"/>
  <c r="F42" i="10"/>
  <c r="F39" i="10"/>
  <c r="F31" i="10"/>
  <c r="F28" i="10"/>
  <c r="F20" i="10"/>
  <c r="S14" i="19" l="1"/>
  <c r="T14" i="19"/>
  <c r="Y10" i="19"/>
  <c r="X10" i="19"/>
  <c r="G6" i="19"/>
  <c r="E6" i="19"/>
  <c r="U10" i="19"/>
  <c r="W17" i="19" l="1"/>
  <c r="S17" i="19" s="1"/>
  <c r="W16" i="19"/>
  <c r="W15" i="19"/>
  <c r="W14" i="19"/>
  <c r="A48" i="73" l="1"/>
  <c r="A37" i="73"/>
  <c r="U14" i="19"/>
  <c r="A5" i="10" s="1"/>
  <c r="A15" i="10"/>
  <c r="T15" i="19" l="1"/>
  <c r="N17" i="10"/>
  <c r="B21" i="10"/>
  <c r="A26" i="10"/>
  <c r="M16" i="10"/>
  <c r="U15" i="19" l="1"/>
  <c r="T16" i="19" s="1"/>
  <c r="A15" i="71"/>
  <c r="F16" i="71" s="1"/>
  <c r="R17" i="10"/>
  <c r="S17" i="10" s="1"/>
  <c r="B32" i="10"/>
  <c r="N28" i="10"/>
  <c r="A37" i="10"/>
  <c r="Q28" i="10"/>
  <c r="M27" i="10"/>
  <c r="R28" i="10" s="1"/>
  <c r="S28" i="10" s="1"/>
  <c r="L17" i="71"/>
  <c r="O17" i="71" l="1"/>
  <c r="L11" i="71"/>
  <c r="U16" i="19"/>
  <c r="T17" i="19" s="1"/>
  <c r="A15" i="72"/>
  <c r="B21" i="72" s="1"/>
  <c r="A5" i="71"/>
  <c r="N17" i="71"/>
  <c r="D15" i="71"/>
  <c r="L12" i="71" s="1"/>
  <c r="B21" i="71"/>
  <c r="F27" i="71"/>
  <c r="M16" i="71"/>
  <c r="R17" i="71" s="1"/>
  <c r="S17" i="71" s="1"/>
  <c r="F49" i="71"/>
  <c r="F38" i="71"/>
  <c r="A26" i="71"/>
  <c r="L22" i="71" s="1"/>
  <c r="Q17" i="71"/>
  <c r="F27" i="72"/>
  <c r="B43" i="10"/>
  <c r="M38" i="10"/>
  <c r="R39" i="10" s="1"/>
  <c r="S39" i="10" s="1"/>
  <c r="Q39" i="10"/>
  <c r="N39" i="10"/>
  <c r="A48" i="10"/>
  <c r="H60" i="10"/>
  <c r="H59" i="10"/>
  <c r="D15" i="72" l="1"/>
  <c r="L12" i="72" s="1"/>
  <c r="M16" i="72"/>
  <c r="R17" i="72" s="1"/>
  <c r="S17" i="72" s="1"/>
  <c r="D21" i="71"/>
  <c r="L17" i="72"/>
  <c r="N17" i="72"/>
  <c r="Q17" i="72"/>
  <c r="F49" i="72"/>
  <c r="L14" i="71"/>
  <c r="U17" i="19"/>
  <c r="A5" i="73" s="1"/>
  <c r="A15" i="73"/>
  <c r="D15" i="73" s="1"/>
  <c r="F38" i="72"/>
  <c r="A26" i="72"/>
  <c r="A37" i="72" s="1"/>
  <c r="A48" i="72" s="1"/>
  <c r="L11" i="72"/>
  <c r="O17" i="72"/>
  <c r="F16" i="72"/>
  <c r="A5" i="72"/>
  <c r="L13" i="71"/>
  <c r="N28" i="71"/>
  <c r="M27" i="71"/>
  <c r="R28" i="71" s="1"/>
  <c r="S28" i="71" s="1"/>
  <c r="O28" i="71"/>
  <c r="B32" i="71"/>
  <c r="D26" i="71"/>
  <c r="L23" i="71" s="1"/>
  <c r="L28" i="71"/>
  <c r="Q28" i="71"/>
  <c r="A37" i="71"/>
  <c r="L33" i="71" s="1"/>
  <c r="L13" i="72"/>
  <c r="L14" i="72"/>
  <c r="M16" i="73"/>
  <c r="R17" i="73" s="1"/>
  <c r="S17" i="73" s="1"/>
  <c r="B21" i="73"/>
  <c r="B54" i="10"/>
  <c r="M49" i="10"/>
  <c r="R50" i="10" s="1"/>
  <c r="S50" i="10" s="1"/>
  <c r="Q50" i="10"/>
  <c r="N50" i="10"/>
  <c r="L37" i="10"/>
  <c r="F16" i="73" l="1"/>
  <c r="L17" i="73"/>
  <c r="O17" i="73"/>
  <c r="Q17" i="73"/>
  <c r="A2" i="73"/>
  <c r="N17" i="73"/>
  <c r="D21" i="72"/>
  <c r="O66" i="10"/>
  <c r="Q66" i="10" s="1"/>
  <c r="D61" i="10" s="1"/>
  <c r="Q28" i="72"/>
  <c r="O39" i="72"/>
  <c r="L28" i="72"/>
  <c r="O28" i="72"/>
  <c r="D26" i="72"/>
  <c r="L24" i="72" s="1"/>
  <c r="B32" i="72"/>
  <c r="N28" i="72"/>
  <c r="L22" i="72"/>
  <c r="A26" i="73"/>
  <c r="M27" i="73" s="1"/>
  <c r="R28" i="73" s="1"/>
  <c r="S28" i="73" s="1"/>
  <c r="L11" i="73"/>
  <c r="M27" i="72"/>
  <c r="R28" i="72" s="1"/>
  <c r="S28" i="72" s="1"/>
  <c r="D32" i="71"/>
  <c r="N39" i="71"/>
  <c r="L25" i="71"/>
  <c r="M38" i="71"/>
  <c r="R39" i="71" s="1"/>
  <c r="S39" i="71" s="1"/>
  <c r="L24" i="71"/>
  <c r="L39" i="71"/>
  <c r="B43" i="71"/>
  <c r="D37" i="71"/>
  <c r="L34" i="71" s="1"/>
  <c r="A48" i="71"/>
  <c r="L44" i="71" s="1"/>
  <c r="D55" i="71" s="1"/>
  <c r="Q39" i="71"/>
  <c r="O39" i="71"/>
  <c r="M38" i="72"/>
  <c r="R39" i="72" s="1"/>
  <c r="S39" i="72" s="1"/>
  <c r="D37" i="72"/>
  <c r="L35" i="72" s="1"/>
  <c r="L39" i="72"/>
  <c r="N39" i="72"/>
  <c r="B43" i="72"/>
  <c r="Q39" i="72"/>
  <c r="L22" i="73"/>
  <c r="L44" i="72"/>
  <c r="L33" i="72"/>
  <c r="L39" i="10"/>
  <c r="L33" i="10"/>
  <c r="L14" i="73"/>
  <c r="L13" i="73"/>
  <c r="L12" i="73"/>
  <c r="D26" i="73"/>
  <c r="L28" i="73"/>
  <c r="N28" i="73"/>
  <c r="B32" i="73"/>
  <c r="O28" i="73"/>
  <c r="Q28" i="73"/>
  <c r="A65" i="10"/>
  <c r="A64" i="10"/>
  <c r="D21" i="73" l="1"/>
  <c r="L23" i="72"/>
  <c r="D32" i="72"/>
  <c r="F27" i="73"/>
  <c r="L25" i="72"/>
  <c r="L36" i="72"/>
  <c r="L35" i="71"/>
  <c r="L36" i="71"/>
  <c r="M49" i="71"/>
  <c r="R50" i="71" s="1"/>
  <c r="S50" i="71" s="1"/>
  <c r="O57" i="71" s="1"/>
  <c r="O50" i="71"/>
  <c r="D43" i="71"/>
  <c r="D48" i="71"/>
  <c r="L46" i="71" s="1"/>
  <c r="L50" i="71"/>
  <c r="Q50" i="71"/>
  <c r="N50" i="71"/>
  <c r="B54" i="71"/>
  <c r="D43" i="72"/>
  <c r="L34" i="72"/>
  <c r="N50" i="72"/>
  <c r="O66" i="72" s="1"/>
  <c r="Q50" i="72"/>
  <c r="L50" i="72"/>
  <c r="B54" i="72"/>
  <c r="M49" i="72"/>
  <c r="R50" i="72" s="1"/>
  <c r="S50" i="72" s="1"/>
  <c r="O57" i="72" s="1"/>
  <c r="O50" i="72"/>
  <c r="D48" i="72"/>
  <c r="L45" i="72" s="1"/>
  <c r="D55" i="72"/>
  <c r="L44" i="73"/>
  <c r="L33" i="73"/>
  <c r="O56" i="72"/>
  <c r="D32" i="73"/>
  <c r="L24" i="73"/>
  <c r="L25" i="73"/>
  <c r="L23" i="73"/>
  <c r="D37" i="73"/>
  <c r="F38" i="73"/>
  <c r="O39" i="73"/>
  <c r="B43" i="73"/>
  <c r="Q39" i="73"/>
  <c r="M38" i="73"/>
  <c r="R39" i="73" s="1"/>
  <c r="S39" i="73" s="1"/>
  <c r="N39" i="73"/>
  <c r="L39" i="73"/>
  <c r="A66" i="10"/>
  <c r="O66" i="71" l="1"/>
  <c r="Q66" i="71" s="1"/>
  <c r="O58" i="71"/>
  <c r="O56" i="71"/>
  <c r="O55" i="71"/>
  <c r="D57" i="71"/>
  <c r="L47" i="71"/>
  <c r="D58" i="71" s="1"/>
  <c r="L45" i="71"/>
  <c r="D56" i="71" s="1"/>
  <c r="D54" i="71"/>
  <c r="D59" i="71"/>
  <c r="D56" i="72"/>
  <c r="D54" i="72"/>
  <c r="D55" i="73"/>
  <c r="O55" i="72"/>
  <c r="O58" i="72"/>
  <c r="L46" i="72"/>
  <c r="D57" i="72" s="1"/>
  <c r="D59" i="72"/>
  <c r="L47" i="72"/>
  <c r="D58" i="72" s="1"/>
  <c r="L34" i="73"/>
  <c r="L35" i="73"/>
  <c r="L36" i="73"/>
  <c r="F49" i="73"/>
  <c r="Q50" i="73"/>
  <c r="B54" i="73"/>
  <c r="M49" i="73"/>
  <c r="R50" i="73" s="1"/>
  <c r="S50" i="73" s="1"/>
  <c r="O56" i="73" s="1"/>
  <c r="O50" i="73"/>
  <c r="N50" i="73"/>
  <c r="O66" i="73" s="1"/>
  <c r="D48" i="73"/>
  <c r="L50" i="73"/>
  <c r="D43" i="73"/>
  <c r="P39" i="10"/>
  <c r="P50" i="10"/>
  <c r="L48" i="10"/>
  <c r="P28" i="10"/>
  <c r="L26" i="10"/>
  <c r="P17" i="10"/>
  <c r="L15" i="10"/>
  <c r="F16" i="10" s="1"/>
  <c r="Q66" i="72" l="1"/>
  <c r="D61" i="72" s="1"/>
  <c r="D61" i="71"/>
  <c r="O57" i="73"/>
  <c r="O58" i="73"/>
  <c r="L28" i="10"/>
  <c r="L22" i="10"/>
  <c r="L50" i="10"/>
  <c r="L44" i="10"/>
  <c r="D15" i="10"/>
  <c r="L11" i="10"/>
  <c r="O55" i="73"/>
  <c r="O17" i="10"/>
  <c r="F40" i="10"/>
  <c r="O39" i="10"/>
  <c r="D43" i="10" s="1"/>
  <c r="F29" i="10"/>
  <c r="O28" i="10"/>
  <c r="F51" i="10"/>
  <c r="O50" i="10"/>
  <c r="D54" i="73"/>
  <c r="D59" i="73"/>
  <c r="L46" i="73"/>
  <c r="D57" i="73" s="1"/>
  <c r="L45" i="73"/>
  <c r="D56" i="73" s="1"/>
  <c r="L47" i="73"/>
  <c r="D58" i="73" s="1"/>
  <c r="E29" i="19"/>
  <c r="F38" i="10"/>
  <c r="F49" i="10"/>
  <c r="F27" i="10"/>
  <c r="L17" i="10"/>
  <c r="F18" i="10"/>
  <c r="O57" i="10" l="1"/>
  <c r="Q57" i="10" s="1"/>
  <c r="O58" i="10"/>
  <c r="Q58" i="73" s="1"/>
  <c r="P56" i="73" s="1"/>
  <c r="O55" i="10"/>
  <c r="D54" i="10"/>
  <c r="D32" i="10"/>
  <c r="O56" i="10"/>
  <c r="D55" i="10"/>
  <c r="E23" i="19" s="1"/>
  <c r="D21" i="10"/>
  <c r="F48" i="10"/>
  <c r="F37" i="10"/>
  <c r="F26" i="10"/>
  <c r="F17" i="10"/>
  <c r="F15" i="10"/>
  <c r="Q57" i="71" l="1"/>
  <c r="Q57" i="72"/>
  <c r="P55" i="72" s="1"/>
  <c r="Q57" i="73"/>
  <c r="P55" i="73" s="1"/>
  <c r="Q58" i="71"/>
  <c r="P56" i="71" s="1"/>
  <c r="Q58" i="10"/>
  <c r="Q58" i="72"/>
  <c r="P56" i="72" s="1"/>
  <c r="P55" i="71"/>
  <c r="P55" i="10"/>
  <c r="Q55" i="10" s="1"/>
  <c r="L3" i="19"/>
  <c r="Q55" i="71" l="1"/>
  <c r="Q55" i="72" s="1"/>
  <c r="D61" i="73"/>
  <c r="P56" i="10"/>
  <c r="Q56" i="10" s="1"/>
  <c r="J2" i="72"/>
  <c r="J2" i="73"/>
  <c r="J2" i="71"/>
  <c r="D60" i="10" l="1"/>
  <c r="Q56" i="71"/>
  <c r="Q56" i="72" s="1"/>
  <c r="Q56" i="73" s="1"/>
  <c r="Q55" i="73"/>
  <c r="C6" i="10"/>
  <c r="C7" i="10"/>
  <c r="E39" i="19"/>
  <c r="E34" i="19"/>
  <c r="I36" i="19"/>
  <c r="J2" i="10" l="1"/>
  <c r="Q17" i="10" l="1"/>
  <c r="L12" i="10" l="1"/>
  <c r="D37" i="10" l="1"/>
  <c r="L35" i="10" l="1"/>
  <c r="L34" i="10" l="1"/>
  <c r="L36" i="10"/>
  <c r="D48" i="10"/>
  <c r="L45" i="10" l="1"/>
  <c r="L46" i="10"/>
  <c r="L47" i="10"/>
  <c r="L13" i="10" l="1"/>
  <c r="L14" i="10" l="1"/>
  <c r="D26" i="10" l="1"/>
  <c r="D59" i="10" l="1"/>
  <c r="L23" i="10"/>
  <c r="D56" i="10" s="1"/>
  <c r="E24" i="19" s="1"/>
  <c r="L24" i="10"/>
  <c r="D57" i="10" s="1"/>
  <c r="E25" i="19" s="1"/>
  <c r="L25" i="10"/>
  <c r="D58" i="10" s="1"/>
  <c r="E26" i="19" s="1"/>
  <c r="E27" i="19" l="1"/>
  <c r="Q61" i="73" l="1"/>
  <c r="Q61" i="71" l="1"/>
  <c r="Q61" i="72"/>
  <c r="Q61" i="10"/>
  <c r="D60" i="71"/>
  <c r="D62" i="71" l="1"/>
  <c r="D60" i="72"/>
  <c r="D62" i="72" s="1"/>
  <c r="Q62" i="73"/>
  <c r="Q62" i="71" l="1"/>
  <c r="Q62" i="72"/>
  <c r="Q62" i="10"/>
  <c r="D60" i="73"/>
  <c r="D62" i="73" s="1"/>
  <c r="E28" i="19" l="1"/>
  <c r="D62" i="10"/>
  <c r="E30"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5" authorId="0" shapeId="0" xr:uid="{00000000-0006-0000-0200-000001000000}">
      <text>
        <r>
          <rPr>
            <sz val="10"/>
            <color indexed="81"/>
            <rFont val="Meiryo UI"/>
            <family val="3"/>
            <charset val="128"/>
          </rPr>
          <t xml:space="preserve">月の上限額
</t>
        </r>
      </text>
    </comment>
    <comment ref="P17" authorId="0" shapeId="0" xr:uid="{00000000-0006-0000-0200-000002000000}">
      <text>
        <r>
          <rPr>
            <sz val="10"/>
            <color indexed="81"/>
            <rFont val="Meiryo UI"/>
            <family val="3"/>
            <charset val="128"/>
          </rPr>
          <t>指導者研修費年間上限</t>
        </r>
      </text>
    </comment>
    <comment ref="L26" authorId="0" shapeId="0" xr:uid="{00000000-0006-0000-0200-000003000000}">
      <text>
        <r>
          <rPr>
            <sz val="10"/>
            <color indexed="81"/>
            <rFont val="Meiryo UI"/>
            <family val="3"/>
            <charset val="128"/>
          </rPr>
          <t xml:space="preserve">月の上限額
</t>
        </r>
      </text>
    </comment>
    <comment ref="L37" authorId="0" shapeId="0" xr:uid="{00000000-0006-0000-0200-000004000000}">
      <text>
        <r>
          <rPr>
            <sz val="10"/>
            <color indexed="81"/>
            <rFont val="Meiryo UI"/>
            <family val="3"/>
            <charset val="128"/>
          </rPr>
          <t xml:space="preserve">月の上限額
</t>
        </r>
      </text>
    </comment>
    <comment ref="L48" authorId="0" shapeId="0" xr:uid="{00000000-0006-0000-0200-000005000000}">
      <text>
        <r>
          <rPr>
            <sz val="10"/>
            <color indexed="81"/>
            <rFont val="Meiryo UI"/>
            <family val="3"/>
            <charset val="128"/>
          </rPr>
          <t xml:space="preserve">月の上限額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5" authorId="0" shapeId="0" xr:uid="{EF66252C-9660-4A90-B437-AE4FD67165F3}">
      <text>
        <r>
          <rPr>
            <sz val="10"/>
            <color indexed="81"/>
            <rFont val="Meiryo UI"/>
            <family val="3"/>
            <charset val="128"/>
          </rPr>
          <t xml:space="preserve">月の上限額
</t>
        </r>
      </text>
    </comment>
    <comment ref="P17" authorId="0" shapeId="0" xr:uid="{D4060725-C404-4C49-AEF2-12D04D727236}">
      <text>
        <r>
          <rPr>
            <sz val="10"/>
            <color indexed="81"/>
            <rFont val="Meiryo UI"/>
            <family val="3"/>
            <charset val="128"/>
          </rPr>
          <t>指導者研修費年間上限</t>
        </r>
      </text>
    </comment>
    <comment ref="L26" authorId="0" shapeId="0" xr:uid="{C69E4D69-AC04-4E33-A54A-EF7AD8B42144}">
      <text>
        <r>
          <rPr>
            <sz val="10"/>
            <color indexed="81"/>
            <rFont val="Meiryo UI"/>
            <family val="3"/>
            <charset val="128"/>
          </rPr>
          <t xml:space="preserve">月の上限額
</t>
        </r>
      </text>
    </comment>
    <comment ref="L37" authorId="0" shapeId="0" xr:uid="{019776E2-6E56-46DC-A218-96A1E0F300BA}">
      <text>
        <r>
          <rPr>
            <sz val="10"/>
            <color indexed="81"/>
            <rFont val="Meiryo UI"/>
            <family val="3"/>
            <charset val="128"/>
          </rPr>
          <t xml:space="preserve">月の上限額
</t>
        </r>
      </text>
    </comment>
    <comment ref="L48" authorId="0" shapeId="0" xr:uid="{A963F42D-30D3-4168-90E8-9E15B0FA850E}">
      <text>
        <r>
          <rPr>
            <sz val="10"/>
            <color indexed="81"/>
            <rFont val="Meiryo UI"/>
            <family val="3"/>
            <charset val="128"/>
          </rPr>
          <t xml:space="preserve">月の上限額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5" authorId="0" shapeId="0" xr:uid="{99F31D65-9AF6-4161-9698-50E3206881BE}">
      <text>
        <r>
          <rPr>
            <sz val="10"/>
            <color indexed="81"/>
            <rFont val="Meiryo UI"/>
            <family val="3"/>
            <charset val="128"/>
          </rPr>
          <t xml:space="preserve">月の上限額
</t>
        </r>
      </text>
    </comment>
    <comment ref="P17" authorId="0" shapeId="0" xr:uid="{9509D470-EA13-423B-B2F5-75C9E1677346}">
      <text>
        <r>
          <rPr>
            <sz val="10"/>
            <color indexed="81"/>
            <rFont val="Meiryo UI"/>
            <family val="3"/>
            <charset val="128"/>
          </rPr>
          <t>指導者研修費年間上限</t>
        </r>
      </text>
    </comment>
    <comment ref="L26" authorId="0" shapeId="0" xr:uid="{55F49ED8-E9D9-4EB4-891C-47245F2205E8}">
      <text>
        <r>
          <rPr>
            <sz val="10"/>
            <color indexed="81"/>
            <rFont val="Meiryo UI"/>
            <family val="3"/>
            <charset val="128"/>
          </rPr>
          <t xml:space="preserve">月の上限額
</t>
        </r>
      </text>
    </comment>
    <comment ref="L37" authorId="0" shapeId="0" xr:uid="{09C99FBA-4B24-4B27-B129-ED6E8D9C9B10}">
      <text>
        <r>
          <rPr>
            <sz val="10"/>
            <color indexed="81"/>
            <rFont val="Meiryo UI"/>
            <family val="3"/>
            <charset val="128"/>
          </rPr>
          <t xml:space="preserve">月の上限額
</t>
        </r>
      </text>
    </comment>
    <comment ref="L48" authorId="0" shapeId="0" xr:uid="{2630FAAD-28E4-47F2-91E7-249BA71CB69A}">
      <text>
        <r>
          <rPr>
            <sz val="10"/>
            <color indexed="81"/>
            <rFont val="Meiryo UI"/>
            <family val="3"/>
            <charset val="128"/>
          </rPr>
          <t xml:space="preserve">月の上限額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5" authorId="0" shapeId="0" xr:uid="{57AB9CE6-A367-466E-9B5C-FAB355FCAC12}">
      <text>
        <r>
          <rPr>
            <sz val="10"/>
            <color indexed="81"/>
            <rFont val="Meiryo UI"/>
            <family val="3"/>
            <charset val="128"/>
          </rPr>
          <t xml:space="preserve">月の上限額
</t>
        </r>
      </text>
    </comment>
    <comment ref="P17" authorId="0" shapeId="0" xr:uid="{653CC4B6-EB78-4CE9-9FF9-673D56624CCB}">
      <text>
        <r>
          <rPr>
            <sz val="10"/>
            <color indexed="81"/>
            <rFont val="Meiryo UI"/>
            <family val="3"/>
            <charset val="128"/>
          </rPr>
          <t>指導者研修費年間上限</t>
        </r>
      </text>
    </comment>
    <comment ref="L26" authorId="0" shapeId="0" xr:uid="{6B0D1BBF-39B4-42C4-B8AB-4E854833AD71}">
      <text>
        <r>
          <rPr>
            <sz val="10"/>
            <color indexed="81"/>
            <rFont val="Meiryo UI"/>
            <family val="3"/>
            <charset val="128"/>
          </rPr>
          <t xml:space="preserve">月の上限額
</t>
        </r>
      </text>
    </comment>
    <comment ref="L37" authorId="0" shapeId="0" xr:uid="{41A983AE-50FE-4536-8A5B-50EFB59B7499}">
      <text>
        <r>
          <rPr>
            <sz val="10"/>
            <color indexed="81"/>
            <rFont val="Meiryo UI"/>
            <family val="3"/>
            <charset val="128"/>
          </rPr>
          <t xml:space="preserve">月の上限額
</t>
        </r>
      </text>
    </comment>
    <comment ref="L48" authorId="0" shapeId="0" xr:uid="{A3C6679E-2BF1-40AC-924B-0617394A0FC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<sst xmlns="http://schemas.openxmlformats.org/spreadsheetml/2006/main" count="500" uniqueCount="118">
  <si>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</si>
  <si>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</si>
  <si>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</si>
  <si>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</si>
  <si>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研修生氏名</t>
    <rPh sb="0" eb="3">
      <t>ケンシュウセイ</t>
    </rPh>
    <rPh sb="3" eb="5">
      <t>シメイ</t>
    </rPh>
    <phoneticPr fontId="2"/>
  </si>
  <si>
    <t>～</t>
    <phoneticPr fontId="2"/>
  </si>
  <si>
    <t>農業法人等名</t>
    <phoneticPr fontId="2"/>
  </si>
  <si>
    <t>研修生氏名</t>
    <phoneticPr fontId="2"/>
  </si>
  <si>
    <t>（６）語学研修費</t>
    <rPh sb="3" eb="5">
      <t>ゴガク</t>
    </rPh>
    <rPh sb="5" eb="7">
      <t>ケンシュウ</t>
    </rPh>
    <rPh sb="7" eb="8">
      <t>ヒ</t>
    </rPh>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</si>
  <si>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</si>
  <si>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</si>
  <si>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</si>
  <si>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</si>
  <si>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</si>
  <si>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</si>
  <si>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</si>
  <si>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</si>
  <si>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フリカナ</t>
  </si>
  <si>
    <t>金融機関名</t>
  </si>
  <si>
    <t>支店番号</t>
  </si>
  <si>
    <t>支店名</t>
  </si>
  <si>
    <t>口座番号</t>
  </si>
  <si>
    <t>口座名義人名</t>
  </si>
  <si>
    <t>）</t>
    <phoneticPr fontId="2"/>
  </si>
  <si>
    <t>（</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</si>
  <si>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</si>
  <si>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</si>
  <si>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</si>
  <si>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</si>
  <si>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</si>
  <si>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</si>
  <si>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</si>
  <si>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</si>
  <si>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</si>
  <si>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</si>
  <si>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</si>
  <si>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</si>
  <si>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</si>
  <si>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</si>
  <si>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</si>
  <si>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指導者研修費助成</t>
    <rPh sb="0" eb="3">
      <t>シドウシャ</t>
    </rPh>
    <rPh sb="3" eb="5">
      <t>ケンシュウ</t>
    </rPh>
    <rPh sb="5" eb="6">
      <t>ヒ</t>
    </rPh>
    <rPh sb="6" eb="8">
      <t>ジョセイ</t>
    </rPh>
    <phoneticPr fontId="2"/>
  </si>
  <si>
    <t>開始日</t>
    <phoneticPr fontId="2"/>
  </si>
  <si>
    <t>終了日</t>
    <phoneticPr fontId="2"/>
  </si>
  <si>
    <t>２　助成金の振込口座</t>
    <phoneticPr fontId="2"/>
  </si>
  <si>
    <t>備　　　　考</t>
    <rPh sb="0" eb="1">
      <t>ソナエ</t>
    </rPh>
    <rPh sb="5" eb="6">
      <t>コウ</t>
    </rPh>
    <phoneticPr fontId="2"/>
  </si>
  <si>
    <t>（注）</t>
  </si>
  <si>
    <t>１　振込口座は、研修実施農業法人等の取引口座とする。フリカナを必ず記入すること。</t>
  </si>
  <si>
    <t>〒</t>
    <phoneticPr fontId="2"/>
  </si>
  <si>
    <t>入力シート</t>
    <rPh sb="0" eb="2">
      <t>ニュウリョク</t>
    </rPh>
    <phoneticPr fontId="2"/>
  </si>
  <si>
    <t>合　計</t>
    <rPh sb="0" eb="1">
      <t>ゴウ</t>
    </rPh>
    <rPh sb="2" eb="3">
      <t>ケイ</t>
    </rPh>
    <phoneticPr fontId="2"/>
  </si>
  <si>
    <r>
      <t>※ 提出期限厳守</t>
    </r>
    <r>
      <rPr>
        <sz val="14"/>
        <color indexed="10"/>
        <rFont val="Meiryo UI"/>
        <family val="3"/>
        <charset val="128"/>
      </rPr>
      <t>　期限内に提出されない場合、助成金は交付されず、採択取り消しとなりますので、ご注意ください。</t>
    </r>
    <phoneticPr fontId="2"/>
  </si>
  <si>
    <t>月数</t>
    <rPh sb="0" eb="2">
      <t>ツキスウ</t>
    </rPh>
    <phoneticPr fontId="2"/>
  </si>
  <si>
    <t>COUNTIF</t>
    <phoneticPr fontId="2"/>
  </si>
  <si>
    <t>語学
研修費</t>
    <rPh sb="0" eb="2">
      <t>ゴガク</t>
    </rPh>
    <rPh sb="3" eb="5">
      <t>ケンシュウ</t>
    </rPh>
    <rPh sb="5" eb="6">
      <t>ヒ</t>
    </rPh>
    <phoneticPr fontId="2"/>
  </si>
  <si>
    <t>累計</t>
    <rPh sb="0" eb="2">
      <t>ルイケイ</t>
    </rPh>
    <phoneticPr fontId="2"/>
  </si>
  <si>
    <t>提出期限</t>
    <rPh sb="0" eb="2">
      <t>テイシュツ</t>
    </rPh>
    <rPh sb="2" eb="4">
      <t>キゲン</t>
    </rPh>
    <phoneticPr fontId="1"/>
  </si>
  <si>
    <t>終了日</t>
  </si>
  <si>
    <t>MAX</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</si>
  <si>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</si>
  <si>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</si>
  <si>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</si>
  <si>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</si>
  <si>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最長6ヶ月</t>
    <rPh sb="4" eb="6">
      <t>サイチョウ</t>
    </rPh>
    <rPh sb="8" eb="9">
      <t>ゲツ</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</si>
  <si>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</si>
  <si>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</si>
  <si>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</si>
  <si>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</si>
  <si>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</si>
  <si>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</si>
  <si>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</si>
  <si>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</si>
  <si>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</si>
  <si>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</si>
  <si>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研修指導者氏名</t>
    <rPh sb="0" eb="2">
      <t>ケンシュウ</t>
    </rPh>
    <rPh sb="2" eb="5">
      <t>シドウシャ</t>
    </rPh>
    <rPh sb="5" eb="7">
      <t>シメイ</t>
    </rPh>
    <phoneticPr fontId="2"/>
  </si>
  <si>
    <t>農業法人等名</t>
    <phoneticPr fontId="2"/>
  </si>
  <si>
    <t>代表者職氏名</t>
    <rPh sb="3" eb="4">
      <t>ショク</t>
    </rPh>
    <phoneticPr fontId="2"/>
  </si>
  <si>
    <t>列X～AAを非表示</t>
    <rPh sb="0" eb="1">
      <t>レツ</t>
    </rPh>
    <rPh sb="6" eb="9">
      <t>ヒヒョウジ</t>
    </rPh>
    <phoneticPr fontId="2"/>
  </si>
  <si>
    <t>　←  月額上限</t>
    <rPh sb="4" eb="6">
      <t>ゲツガク</t>
    </rPh>
    <rPh sb="6" eb="8">
      <t>ジョウゲン</t>
    </rPh>
    <phoneticPr fontId="2"/>
  </si>
  <si>
    <t xml:space="preserve">　←  年額上限 </t>
    <rPh sb="4" eb="6">
      <t>ネンガク</t>
    </rPh>
    <rPh sb="6" eb="8">
      <t>ジョウゲン</t>
    </rPh>
    <phoneticPr fontId="2"/>
  </si>
  <si>
    <t>2-4</t>
    <phoneticPr fontId="2"/>
  </si>
  <si>
    <t>令和3年3月研修開始</t>
    <rPh sb="0" eb="2">
      <t>レイワ</t>
    </rPh>
    <rPh sb="3" eb="4">
      <t>ネン</t>
    </rPh>
    <rPh sb="5" eb="6">
      <t>ガツ</t>
    </rPh>
    <rPh sb="6" eb="8">
      <t>ケンシュウ</t>
    </rPh>
    <rPh sb="8" eb="10">
      <t>カイシ</t>
    </rPh>
    <phoneticPr fontId="2"/>
  </si>
  <si>
    <t>氷河期</t>
    <rPh sb="0" eb="3">
      <t>ヒョウガキ</t>
    </rPh>
    <phoneticPr fontId="2"/>
  </si>
  <si>
    <t>就職氷河期世代雇用就農者実践研修支援事業　助成金一括払申請書</t>
    <rPh sb="27" eb="30">
      <t>シンセイショ</t>
    </rPh>
    <phoneticPr fontId="2"/>
  </si>
  <si>
    <t>就職氷河期世代雇用就農者実践研修支援事業　助成金一括払申請書</t>
    <rPh sb="18" eb="20">
      <t>ジギョウ</t>
    </rPh>
    <rPh sb="21" eb="24">
      <t>ジョセイキン</t>
    </rPh>
    <rPh sb="24" eb="26">
      <t>イッカツ</t>
    </rPh>
    <rPh sb="26" eb="27">
      <t>ハラ</t>
    </rPh>
    <rPh sb="27" eb="30">
      <t>シンセイショ</t>
    </rPh>
    <phoneticPr fontId="2"/>
  </si>
  <si>
    <t>様式就第１６号ー１</t>
    <rPh sb="2" eb="3">
      <t>シュウ</t>
    </rPh>
    <phoneticPr fontId="2"/>
  </si>
  <si>
    <t>様式就第１６号－２</t>
    <rPh sb="0" eb="2">
      <t>ヨウシキ</t>
    </rPh>
    <rPh sb="2" eb="3">
      <t>シュウ</t>
    </rPh>
    <rPh sb="3" eb="4">
      <t>ダイ</t>
    </rPh>
    <rPh sb="6" eb="7">
      <t>ゴウ</t>
    </rPh>
    <phoneticPr fontId="2"/>
  </si>
  <si>
    <t>2022年4月28日（金）</t>
    <rPh sb="4" eb="5">
      <t>ネン</t>
    </rPh>
    <rPh sb="6" eb="7">
      <t>ガツ</t>
    </rPh>
    <rPh sb="9" eb="10">
      <t>ニチ</t>
    </rPh>
    <rPh sb="11" eb="12">
      <t>キン</t>
    </rPh>
    <phoneticPr fontId="2"/>
  </si>
  <si>
    <t>①</t>
    <phoneticPr fontId="2"/>
  </si>
  <si>
    <t>②</t>
    <phoneticPr fontId="2"/>
  </si>
  <si>
    <t>③</t>
    <phoneticPr fontId="2"/>
  </si>
  <si>
    <t>④</t>
    <phoneticPr fontId="2"/>
  </si>
  <si>
    <t>シート番号</t>
    <rPh sb="3" eb="5">
      <t>バンゴウ</t>
    </rPh>
    <phoneticPr fontId="2"/>
  </si>
  <si>
    <t>指導者
研修費</t>
    <rPh sb="0" eb="3">
      <t>シドウシャ</t>
    </rPh>
    <rPh sb="4" eb="6">
      <t>ケンシュウ</t>
    </rPh>
    <rPh sb="6" eb="7">
      <t>ヒ</t>
    </rPh>
    <phoneticPr fontId="2"/>
  </si>
  <si>
    <t>研修開始日</t>
    <rPh sb="0" eb="2">
      <t>ケンシュウ</t>
    </rPh>
    <rPh sb="2" eb="5">
      <t>カイシビ</t>
    </rPh>
    <phoneticPr fontId="2"/>
  </si>
  <si>
    <t>開始日</t>
    <rPh sb="0" eb="3">
      <t>カイシビ</t>
    </rPh>
    <phoneticPr fontId="2"/>
  </si>
  <si>
    <t>指導者研修費</t>
    <rPh sb="0" eb="3">
      <t>シドウシャ</t>
    </rPh>
    <rPh sb="3" eb="6">
      <t>ケンシュウヒ</t>
    </rPh>
    <phoneticPr fontId="2"/>
  </si>
  <si>
    <t>1年目累計</t>
    <rPh sb="1" eb="3">
      <t>ネンメ</t>
    </rPh>
    <rPh sb="3" eb="5">
      <t>ルイケイ</t>
    </rPh>
    <phoneticPr fontId="2"/>
  </si>
  <si>
    <t>2年目累計</t>
    <rPh sb="1" eb="3">
      <t>ネンメ</t>
    </rPh>
    <rPh sb="3" eb="5">
      <t>ルイケイ</t>
    </rPh>
    <phoneticPr fontId="2"/>
  </si>
  <si>
    <t>入力合計額</t>
    <rPh sb="0" eb="2">
      <t>ニュウリョク</t>
    </rPh>
    <rPh sb="2" eb="5">
      <t>ゴウケイガク</t>
    </rPh>
    <phoneticPr fontId="2"/>
  </si>
  <si>
    <t>上限額</t>
    <rPh sb="0" eb="3">
      <t>ジョウゲンガク</t>
    </rPh>
    <phoneticPr fontId="2"/>
  </si>
  <si>
    <r>
      <t>入力する月とシートをご確認ください。</t>
    </r>
    <r>
      <rPr>
        <b/>
        <sz val="20"/>
        <color indexed="10"/>
        <rFont val="メイリオ"/>
        <family val="3"/>
        <charset val="128"/>
      </rPr>
      <t>↓　　</t>
    </r>
    <rPh sb="0" eb="2">
      <t>ニュウリョク</t>
    </rPh>
    <rPh sb="4" eb="5">
      <t>ツキ</t>
    </rPh>
    <rPh sb="11" eb="13">
      <t>カクニン</t>
    </rPh>
    <phoneticPr fontId="2"/>
  </si>
  <si>
    <t>累計年合計額</t>
    <rPh sb="0" eb="2">
      <t>ルイケイ</t>
    </rPh>
    <rPh sb="2" eb="3">
      <t>ネン</t>
    </rPh>
    <rPh sb="3" eb="6">
      <t>ゴウケイガク</t>
    </rPh>
    <phoneticPr fontId="2"/>
  </si>
  <si>
    <t>※2</t>
    <phoneticPr fontId="2"/>
  </si>
  <si>
    <t>※1</t>
    <phoneticPr fontId="2"/>
  </si>
  <si>
    <t>（１）～（４）年累計</t>
    <rPh sb="7" eb="8">
      <t>ネン</t>
    </rPh>
    <rPh sb="8" eb="10">
      <t>ルイケイ</t>
    </rPh>
    <phoneticPr fontId="2"/>
  </si>
  <si>
    <t>※1※2
年間上限</t>
    <rPh sb="5" eb="7">
      <t>ネンカン</t>
    </rPh>
    <rPh sb="7" eb="9">
      <t>ジョウゲン</t>
    </rPh>
    <phoneticPr fontId="2"/>
  </si>
  <si>
    <t>※1※2年累計</t>
    <rPh sb="4" eb="5">
      <t>ネン</t>
    </rPh>
    <rPh sb="5" eb="7">
      <t>ルイケイ</t>
    </rPh>
    <phoneticPr fontId="2"/>
  </si>
  <si>
    <t>令和3年6月研修開始</t>
    <rPh sb="0" eb="2">
      <t>レイワ</t>
    </rPh>
    <rPh sb="3" eb="4">
      <t>ネン</t>
    </rPh>
    <rPh sb="5" eb="6">
      <t>ガツ</t>
    </rPh>
    <rPh sb="6" eb="8">
      <t>ケンシュウ</t>
    </rPh>
    <rPh sb="8" eb="10">
      <t>カイシ</t>
    </rPh>
    <phoneticPr fontId="2"/>
  </si>
  <si>
    <t>令和3年8月研修開始</t>
    <rPh sb="0" eb="2">
      <t>レイワ</t>
    </rPh>
    <rPh sb="3" eb="4">
      <t>ネン</t>
    </rPh>
    <rPh sb="5" eb="6">
      <t>ガツ</t>
    </rPh>
    <rPh sb="6" eb="8">
      <t>ケンシュウ</t>
    </rPh>
    <rPh sb="8" eb="10">
      <t>カイシ</t>
    </rPh>
    <phoneticPr fontId="2"/>
  </si>
  <si>
    <t>研修実施農業法人等としての指定通知のあった研修活動を実施することとしたので、当該研修に係る助成金の交付を下記の通り申請します。（月別の計画は、別添の通り）
なお、助成金一括払を受領後、研修が中止となった、金額の根拠となる研修を実施しなかった、実施した研修についてその実績報告がなされなかった等の場合には、貴会の指示に従い、受領した助成金のうち研修未実施分を速やかに返還します。</t>
    <phoneticPr fontId="2"/>
  </si>
  <si>
    <t>※　各区分の助成対象経費の額は、第16号－2の各区分の額の合計と一致する。</t>
  </si>
  <si>
    <t>３　研修生を複数名受け入れている場合は、研修生ごとに申請すること。</t>
    <phoneticPr fontId="2"/>
  </si>
  <si>
    <t>２　当該申請書に係る内訳様式就第16号－2を添付すること。</t>
    <phoneticPr fontId="2"/>
  </si>
  <si>
    <t>　　様式就第16号－2は写しを5年間保管すること。</t>
  </si>
  <si>
    <t>１ヶ月の合計額</t>
  </si>
  <si>
    <t>語学研修費</t>
    <rPh sb="0" eb="2">
      <t>ゴガク</t>
    </rPh>
    <rPh sb="2" eb="5">
      <t>ケンシュウヒ</t>
    </rPh>
    <phoneticPr fontId="2"/>
  </si>
  <si>
    <t>※3</t>
    <phoneticPr fontId="2"/>
  </si>
  <si>
    <t>累計額</t>
    <rPh sb="0" eb="2">
      <t>ルイケイ</t>
    </rPh>
    <rPh sb="2" eb="3">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</si>
</sst>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_ ;[Red]\-#,##0\ "/>
    <numFmt numFmtId="177" formatCode="[$-411]ggge&quot;年&quot;m&quot;月&quot;d&quot;日&quot;;@"/>
    <numFmt numFmtId="178" formatCode="#,##0&quot; 円&quot;"/>
    <numFmt numFmtId="179" formatCode="#,##0_ "/>
    <numFmt numFmtId="180" formatCode="0_ "/>
    <numFmt numFmtId="181" formatCode="[&lt;=999]000;[&lt;=9999]000\-00;000\-0000"/>
    <numFmt numFmtId="182" formatCode="0_);[Red]\(0\)"/>
    <numFmt numFmtId="183" formatCode="yyyy/m/d;@"/>
    <numFmt numFmtId="184" formatCode="@&quot;開&quot;&quot;始&quot;"/>
    <numFmt numFmtId="185" formatCode="yyyy&quot;年&quot;m&quot;月&quot;d&quot;日&quot;\(aaa\)"/>
    <numFmt numFmtId="186" formatCode="[$-411]yyyy&quot;年&quot;m&quot;月&quot;d&quot;日&quot;"/>
    <numFmt numFmtId="187" formatCode="[$-F800]dddd\,\ mmmm\ dd\,\ yyyy"/>
    <numFmt numFmtId="188" formatCode="d&quot;回&quot;"/>
    <numFmt numFmtId="189" formatCode="yyyy&quot;年&quot;m&quot;月&quot;;@"/>
    <numFmt numFmtId="190" formatCode="m&quot;月&quot;"/>
  </numFmts>
  <fonts count="77"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12"/>
      <name val="ＭＳ Ｐ明朝"/>
      <family val="1"/>
      <charset val="128"/>
    </font>
    <font>
      <sz val="12"/>
      <name val="メイリオ"/>
      <family val="3"/>
      <charset val="128"/>
    </font>
    <font>
      <sz val="11"/>
      <name val="メイリオ"/>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FF0000"/>
      <name val="ＭＳ Ｐゴシック"/>
      <family val="3"/>
      <charset val="128"/>
    </font>
    <font>
      <sz val="11"/>
      <color rgb="FFFF0000"/>
      <name val="メイリオ"/>
      <family val="3"/>
      <charset val="128"/>
    </font>
    <font>
      <sz val="12"/>
      <color theme="0" tint="-0.249977111117893"/>
      <name val="Meiryo UI"/>
      <family val="3"/>
      <charset val="128"/>
    </font>
    <font>
      <b/>
      <sz val="16"/>
      <color rgb="FFFF00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sz val="11"/>
      <color theme="0" tint="-0.499984740745262"/>
      <name val="Meiryo UI"/>
      <family val="3"/>
      <charset val="128"/>
    </font>
    <font>
      <sz val="12"/>
      <color rgb="FF0000FF"/>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sz val="12"/>
      <color rgb="FF0070C0"/>
      <name val="Meiryo UI"/>
      <family val="3"/>
      <charset val="128"/>
    </font>
    <font>
      <sz val="11"/>
      <color rgb="FF0070C0"/>
      <name val="Meiryo UI"/>
      <family val="3"/>
      <charset val="128"/>
    </font>
    <font>
      <sz val="11"/>
      <color rgb="FFFF0000"/>
      <name val="ＭＳ Ｐゴシック"/>
      <family val="3"/>
      <charset val="128"/>
    </font>
    <font>
      <b/>
      <sz val="14"/>
      <color rgb="FF3366FF"/>
      <name val="Meiryo UI"/>
      <family val="3"/>
      <charset val="128"/>
    </font>
    <font>
      <sz val="14"/>
      <color theme="0" tint="-0.14999847407452621"/>
      <name val="Meiryo UI"/>
      <family val="3"/>
      <charset val="128"/>
    </font>
    <font>
      <sz val="16"/>
      <color theme="0" tint="-0.14999847407452621"/>
      <name val="ＭＳ Ｐゴシック"/>
      <family val="3"/>
      <charset val="128"/>
    </font>
    <font>
      <sz val="14"/>
      <color rgb="FF0070C0"/>
      <name val="Meiryo UI"/>
      <family val="3"/>
      <charset val="128"/>
    </font>
    <font>
      <b/>
      <sz val="11"/>
      <color rgb="FF0070C0"/>
      <name val="Meiryo UI"/>
      <family val="3"/>
      <charset val="128"/>
    </font>
    <font>
      <sz val="12"/>
      <name val="ＭＳ Ｐゴシック"/>
      <family val="3"/>
      <charset val="128"/>
      <scheme val="major"/>
    </font>
    <font>
      <b/>
      <sz val="14"/>
      <color theme="0" tint="-0.34998626667073579"/>
      <name val="ＭＳ Ｐゴシック"/>
      <family val="3"/>
      <charset val="128"/>
    </font>
    <font>
      <sz val="11"/>
      <color rgb="FFFF0000"/>
      <name val="Meiryo UI"/>
      <family val="3"/>
      <charset val="128"/>
    </font>
    <font>
      <b/>
      <sz val="11"/>
      <color rgb="FF3366FF"/>
      <name val="メイリオ"/>
      <family val="3"/>
      <charset val="128"/>
    </font>
    <font>
      <sz val="11"/>
      <color theme="0" tint="-0.34998626667073579"/>
      <name val="ＭＳ Ｐゴシック"/>
      <family val="3"/>
      <charset val="128"/>
    </font>
    <font>
      <sz val="9"/>
      <color rgb="FF000000"/>
      <name val="Meiryo UI"/>
      <family val="3"/>
      <charset val="128"/>
    </font>
    <font>
      <b/>
      <sz val="14"/>
      <name val="ＭＳ 明朝"/>
      <family val="1"/>
      <charset val="128"/>
    </font>
    <font>
      <b/>
      <sz val="12"/>
      <color rgb="FFFF0000"/>
      <name val="ＭＳ Ｐゴシック"/>
      <family val="3"/>
      <charset val="128"/>
    </font>
    <font>
      <sz val="12"/>
      <color rgb="FFFF0000"/>
      <name val="Meiryo UI"/>
      <family val="3"/>
      <charset val="128"/>
    </font>
    <font>
      <sz val="16"/>
      <color theme="1"/>
      <name val="Meiryo UI"/>
      <family val="3"/>
      <charset val="128"/>
    </font>
    <font>
      <sz val="16"/>
      <name val="メイリオ"/>
      <family val="3"/>
      <charset val="128"/>
    </font>
    <font>
      <sz val="12"/>
      <color rgb="FF3366FF"/>
      <name val="Meiryo UI"/>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08">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style="thin">
        <color indexed="64"/>
      </left>
      <right style="medium">
        <color indexed="64"/>
      </right>
      <top style="medium">
        <color indexed="64"/>
      </top>
      <bottom style="medium">
        <color indexed="64"/>
      </bottom>
      <diagonal/>
    </border>
    <border>
      <left/>
      <right/>
      <top style="medium">
        <color rgb="FF3399FF"/>
      </top>
      <bottom/>
      <diagonal/>
    </border>
    <border>
      <left/>
      <right/>
      <top style="thin">
        <color theme="0" tint="-4.9989318521683403E-2"/>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theme="0" tint="-0.14996795556505021"/>
      </right>
      <top/>
      <bottom style="thin">
        <color theme="0" tint="-0.14993743705557422"/>
      </bottom>
      <diagonal/>
    </border>
  </borders>
  <cellStyleXfs count="6">
    <xf numFmtId="0" fontId="0" fillId="0" borderId="0"/>
    <xf numFmtId="0" fontId="38" fillId="0" borderId="0" applyNumberFormat="0" applyFill="0" applyBorder="0" applyAlignment="0" applyProtection="0"/>
    <xf numFmtId="38" fontId="1" fillId="0" borderId="0" applyFont="0" applyFill="0" applyBorder="0" applyAlignment="0" applyProtection="0"/>
    <xf numFmtId="0" fontId="37" fillId="0" borderId="0">
      <alignment vertical="center"/>
    </xf>
    <xf numFmtId="0" fontId="39" fillId="2" borderId="0" applyNumberFormat="0" applyBorder="0" applyAlignment="0" applyProtection="0">
      <alignment vertical="center"/>
    </xf>
    <xf numFmtId="0" fontId="37" fillId="0" borderId="0">
      <alignment vertical="center"/>
    </xf>
  </cellStyleXfs>
  <cellXfs count="511">
    <xf numFmtId="0" fontId="0" fillId="0" borderId="0" xfId="0"/>
    <xf numFmtId="0" fontId="12" fillId="3" borderId="1" xfId="0" applyFont="1" applyFill="1" applyBorder="1" applyAlignment="1" applyProtection="1">
      <alignment horizontal="left" vertical="center"/>
    </xf>
    <xf numFmtId="0" fontId="12" fillId="3" borderId="2" xfId="0" applyFont="1" applyFill="1" applyBorder="1" applyAlignment="1" applyProtection="1">
      <alignment horizontal="left" vertical="center" shrinkToFit="1"/>
    </xf>
    <xf numFmtId="0" fontId="0" fillId="0" borderId="0" xfId="0" applyAlignment="1" applyProtection="1"/>
    <xf numFmtId="0" fontId="40" fillId="0" borderId="0" xfId="0" applyFont="1" applyAlignment="1" applyProtection="1"/>
    <xf numFmtId="0" fontId="40" fillId="0" borderId="0" xfId="0" applyFont="1" applyAlignment="1" applyProtection="1">
      <alignment vertical="top"/>
    </xf>
    <xf numFmtId="0" fontId="0" fillId="0" borderId="0" xfId="0" applyAlignment="1" applyProtection="1">
      <alignment horizontal="left"/>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0" fontId="4" fillId="0" borderId="0" xfId="0" applyFont="1" applyFill="1" applyAlignment="1" applyProtection="1">
      <alignment horizontal="center" vertical="center"/>
    </xf>
    <xf numFmtId="0" fontId="0" fillId="0" borderId="0" xfId="0" applyFill="1" applyAlignment="1" applyProtection="1">
      <alignment vertical="center"/>
    </xf>
    <xf numFmtId="0" fontId="0" fillId="0" borderId="0" xfId="0" applyFill="1" applyAlignment="1" applyProtection="1"/>
    <xf numFmtId="0" fontId="20" fillId="3" borderId="0" xfId="0" applyFont="1" applyFill="1" applyBorder="1" applyAlignment="1" applyProtection="1">
      <alignment horizontal="left" vertical="center"/>
    </xf>
    <xf numFmtId="0" fontId="12" fillId="3" borderId="0" xfId="0" applyFont="1" applyFill="1" applyBorder="1" applyAlignment="1" applyProtection="1">
      <alignment horizontal="center" vertical="center"/>
    </xf>
    <xf numFmtId="176" fontId="16" fillId="3" borderId="0" xfId="2" applyNumberFormat="1" applyFont="1" applyFill="1" applyBorder="1" applyAlignment="1" applyProtection="1">
      <alignment vertical="center"/>
    </xf>
    <xf numFmtId="0" fontId="20" fillId="3" borderId="0" xfId="0" applyFont="1" applyFill="1" applyBorder="1" applyAlignment="1" applyProtection="1">
      <alignment horizontal="left" vertical="center" wrapText="1"/>
    </xf>
    <xf numFmtId="0" fontId="41" fillId="0" borderId="0" xfId="0" applyFont="1" applyFill="1" applyBorder="1" applyAlignment="1" applyProtection="1">
      <alignment horizontal="center" vertical="center"/>
    </xf>
    <xf numFmtId="0" fontId="4" fillId="3" borderId="0" xfId="0" applyFont="1" applyFill="1" applyAlignment="1">
      <alignment horizontal="center"/>
    </xf>
    <xf numFmtId="0" fontId="4" fillId="3" borderId="0" xfId="0" applyFont="1" applyFill="1"/>
    <xf numFmtId="38" fontId="5" fillId="3" borderId="0" xfId="2" applyFont="1" applyFill="1"/>
    <xf numFmtId="0" fontId="9" fillId="3" borderId="0" xfId="0" applyFont="1" applyFill="1" applyAlignment="1">
      <alignment horizontal="center"/>
    </xf>
    <xf numFmtId="0" fontId="9" fillId="3" borderId="0" xfId="0" applyFont="1" applyFill="1" applyAlignment="1">
      <alignment horizontal="right" indent="1"/>
    </xf>
    <xf numFmtId="0" fontId="8" fillId="3" borderId="0" xfId="0" applyFont="1" applyFill="1" applyAlignment="1">
      <alignment horizontal="left" vertical="center"/>
    </xf>
    <xf numFmtId="0" fontId="5" fillId="3" borderId="0" xfId="0" applyFont="1" applyFill="1" applyAlignment="1">
      <alignment horizontal="right"/>
    </xf>
    <xf numFmtId="0" fontId="0" fillId="3" borderId="0" xfId="0" applyFont="1" applyFill="1" applyAlignment="1">
      <alignment horizontal="centerContinuous"/>
    </xf>
    <xf numFmtId="0" fontId="4" fillId="3" borderId="0" xfId="0" applyFont="1" applyFill="1" applyAlignment="1">
      <alignment horizontal="center" vertical="center"/>
    </xf>
    <xf numFmtId="0" fontId="9" fillId="3" borderId="0" xfId="0" applyFont="1" applyFill="1" applyBorder="1" applyAlignment="1">
      <alignment horizontal="distributed"/>
    </xf>
    <xf numFmtId="0" fontId="9" fillId="3" borderId="0" xfId="0" applyFont="1" applyFill="1" applyAlignment="1">
      <alignment horizontal="distributed"/>
    </xf>
    <xf numFmtId="0" fontId="5" fillId="3" borderId="0" xfId="0" applyFont="1" applyFill="1" applyAlignment="1">
      <alignment horizontal="left"/>
    </xf>
    <xf numFmtId="0" fontId="4" fillId="3" borderId="14" xfId="0" applyFont="1" applyFill="1" applyBorder="1" applyAlignment="1">
      <alignment horizontal="center"/>
    </xf>
    <xf numFmtId="0" fontId="4" fillId="3" borderId="15" xfId="0" applyFont="1" applyFill="1" applyBorder="1"/>
    <xf numFmtId="0" fontId="4" fillId="3" borderId="5" xfId="0" applyFont="1" applyFill="1" applyBorder="1"/>
    <xf numFmtId="0" fontId="4" fillId="3" borderId="16" xfId="0" applyFont="1" applyFill="1" applyBorder="1"/>
    <xf numFmtId="178" fontId="6" fillId="3" borderId="17" xfId="0" applyNumberFormat="1" applyFont="1" applyFill="1" applyBorder="1" applyAlignment="1">
      <alignment shrinkToFit="1"/>
    </xf>
    <xf numFmtId="0" fontId="4" fillId="3" borderId="18" xfId="0" applyFont="1" applyFill="1" applyBorder="1" applyAlignment="1">
      <alignment horizontal="center"/>
    </xf>
    <xf numFmtId="0" fontId="4" fillId="3" borderId="19" xfId="0" applyFont="1" applyFill="1" applyBorder="1"/>
    <xf numFmtId="0" fontId="4" fillId="3" borderId="20" xfId="0" applyFont="1" applyFill="1" applyBorder="1"/>
    <xf numFmtId="0" fontId="4" fillId="3" borderId="21" xfId="0" applyFont="1" applyFill="1" applyBorder="1"/>
    <xf numFmtId="178" fontId="6" fillId="3" borderId="22" xfId="0" applyNumberFormat="1" applyFont="1" applyFill="1" applyBorder="1" applyAlignment="1">
      <alignment shrinkToFit="1"/>
    </xf>
    <xf numFmtId="0" fontId="9" fillId="3" borderId="18" xfId="0" applyNumberFormat="1" applyFont="1" applyFill="1" applyBorder="1" applyAlignment="1">
      <alignment horizontal="center"/>
    </xf>
    <xf numFmtId="0" fontId="4" fillId="3" borderId="23" xfId="0" applyFont="1" applyFill="1" applyBorder="1"/>
    <xf numFmtId="0" fontId="4" fillId="3" borderId="24" xfId="0" applyFont="1" applyFill="1" applyBorder="1" applyAlignment="1">
      <alignment horizontal="center"/>
    </xf>
    <xf numFmtId="0" fontId="0" fillId="3" borderId="0" xfId="0" applyFill="1" applyBorder="1" applyAlignment="1" applyProtection="1">
      <alignment vertical="center"/>
    </xf>
    <xf numFmtId="0" fontId="3" fillId="3" borderId="0" xfId="0" applyFont="1" applyFill="1" applyBorder="1" applyAlignment="1" applyProtection="1"/>
    <xf numFmtId="0" fontId="0" fillId="3" borderId="0" xfId="0" applyFill="1" applyBorder="1" applyAlignment="1" applyProtection="1">
      <alignment horizontal="right"/>
    </xf>
    <xf numFmtId="0" fontId="4" fillId="3" borderId="0" xfId="0" applyFont="1" applyFill="1" applyAlignment="1" applyProtection="1">
      <alignment horizontal="center"/>
      <protection locked="0"/>
    </xf>
    <xf numFmtId="0" fontId="12" fillId="3" borderId="0" xfId="0" applyFont="1" applyFill="1" applyBorder="1" applyAlignment="1" applyProtection="1">
      <alignment horizontal="left" vertical="center" shrinkToFit="1"/>
    </xf>
    <xf numFmtId="0" fontId="20" fillId="3" borderId="0" xfId="0" applyFont="1" applyFill="1" applyBorder="1" applyAlignment="1" applyProtection="1">
      <alignment vertical="center" wrapText="1"/>
    </xf>
    <xf numFmtId="38" fontId="7" fillId="3" borderId="0" xfId="2" applyFont="1" applyFill="1"/>
    <xf numFmtId="0" fontId="7" fillId="3" borderId="0" xfId="0" applyFont="1" applyFill="1" applyAlignment="1">
      <alignment horizontal="centerContinuous"/>
    </xf>
    <xf numFmtId="177" fontId="8" fillId="3" borderId="0" xfId="0" applyNumberFormat="1" applyFont="1" applyFill="1" applyAlignment="1">
      <alignment horizontal="left"/>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center"/>
    </xf>
    <xf numFmtId="0" fontId="13" fillId="3" borderId="0" xfId="0" applyFont="1" applyFill="1" applyBorder="1" applyAlignment="1" applyProtection="1">
      <alignment horizontal="right" vertical="center"/>
    </xf>
    <xf numFmtId="0" fontId="13" fillId="3" borderId="0" xfId="0" applyFont="1" applyFill="1" applyBorder="1" applyAlignment="1" applyProtection="1">
      <alignment horizontal="left" vertical="center"/>
    </xf>
    <xf numFmtId="177" fontId="21" fillId="0" borderId="0" xfId="0" applyNumberFormat="1" applyFont="1" applyFill="1" applyBorder="1" applyAlignment="1" applyProtection="1">
      <alignment horizontal="left"/>
    </xf>
    <xf numFmtId="0" fontId="12" fillId="3" borderId="0" xfId="0" applyFont="1" applyFill="1" applyBorder="1" applyAlignment="1" applyProtection="1">
      <alignment horizontal="left"/>
    </xf>
    <xf numFmtId="0" fontId="12" fillId="3" borderId="0" xfId="0" applyFont="1" applyFill="1" applyBorder="1" applyAlignment="1" applyProtection="1">
      <alignment horizontal="justify"/>
    </xf>
    <xf numFmtId="0" fontId="12"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2" fillId="3" borderId="0" xfId="0" applyFont="1" applyFill="1" applyBorder="1" applyAlignment="1" applyProtection="1">
      <alignment horizontal="centerContinuous"/>
    </xf>
    <xf numFmtId="0" fontId="13" fillId="3" borderId="0" xfId="0" applyFont="1" applyFill="1" applyBorder="1" applyAlignment="1" applyProtection="1">
      <alignment horizontal="justify"/>
    </xf>
    <xf numFmtId="0" fontId="15" fillId="3" borderId="0" xfId="0" applyFont="1" applyFill="1" applyBorder="1" applyAlignment="1" applyProtection="1">
      <alignment horizontal="justify"/>
    </xf>
    <xf numFmtId="0" fontId="17" fillId="3" borderId="0" xfId="0" applyFont="1" applyFill="1" applyBorder="1" applyAlignment="1" applyProtection="1">
      <alignment horizontal="right"/>
    </xf>
    <xf numFmtId="0" fontId="15" fillId="3" borderId="0" xfId="0" applyFont="1" applyFill="1" applyBorder="1" applyAlignment="1" applyProtection="1">
      <alignment horizontal="left"/>
    </xf>
    <xf numFmtId="0" fontId="12" fillId="3" borderId="0" xfId="0" applyFont="1" applyFill="1" applyBorder="1" applyAlignment="1" applyProtection="1">
      <alignment horizontal="centerContinuous" vertical="top"/>
    </xf>
    <xf numFmtId="0" fontId="11" fillId="0" borderId="0" xfId="0" applyFont="1" applyFill="1" applyAlignment="1" applyProtection="1">
      <alignment vertical="top"/>
    </xf>
    <xf numFmtId="0" fontId="0" fillId="0" borderId="0" xfId="0" applyFill="1" applyBorder="1" applyAlignment="1" applyProtection="1"/>
    <xf numFmtId="0" fontId="23" fillId="0" borderId="19" xfId="0" applyFont="1" applyFill="1" applyBorder="1" applyAlignment="1" applyProtection="1">
      <alignment horizontal="center" vertical="center" shrinkToFit="1"/>
    </xf>
    <xf numFmtId="0" fontId="23" fillId="0" borderId="6" xfId="0" applyFont="1" applyFill="1" applyBorder="1" applyAlignment="1" applyProtection="1">
      <alignment horizontal="center" vertical="center" shrinkToFit="1"/>
    </xf>
    <xf numFmtId="0" fontId="23" fillId="0" borderId="67" xfId="0" applyFont="1" applyFill="1" applyBorder="1" applyAlignment="1" applyProtection="1"/>
    <xf numFmtId="0" fontId="23" fillId="0" borderId="0" xfId="0" applyFont="1" applyFill="1" applyAlignment="1" applyProtection="1"/>
    <xf numFmtId="0" fontId="0" fillId="0" borderId="6" xfId="0" applyNumberFormat="1" applyFill="1" applyBorder="1" applyAlignment="1" applyProtection="1"/>
    <xf numFmtId="0" fontId="42" fillId="0" borderId="0" xfId="0" applyFont="1" applyFill="1" applyBorder="1" applyAlignment="1" applyProtection="1">
      <alignment horizontal="right" vertical="center"/>
    </xf>
    <xf numFmtId="0" fontId="4" fillId="0" borderId="0" xfId="0" applyFont="1" applyFill="1"/>
    <xf numFmtId="0" fontId="4" fillId="0" borderId="0" xfId="0" applyFont="1" applyFill="1" applyAlignment="1">
      <alignment horizontal="center"/>
    </xf>
    <xf numFmtId="38" fontId="5" fillId="0" borderId="0" xfId="2" applyFont="1" applyFill="1"/>
    <xf numFmtId="38" fontId="7" fillId="0" borderId="0" xfId="2" applyFont="1" applyFill="1"/>
    <xf numFmtId="181" fontId="12" fillId="4" borderId="1" xfId="0" applyNumberFormat="1" applyFont="1" applyFill="1" applyBorder="1" applyAlignment="1" applyProtection="1">
      <alignment horizontal="left" vertical="center" shrinkToFit="1"/>
      <protection locked="0"/>
    </xf>
    <xf numFmtId="0" fontId="21" fillId="4" borderId="27" xfId="0" applyNumberFormat="1" applyFont="1" applyFill="1" applyBorder="1" applyAlignment="1" applyProtection="1">
      <alignment horizontal="right"/>
      <protection locked="0"/>
    </xf>
    <xf numFmtId="0" fontId="12" fillId="4" borderId="35" xfId="0" applyFont="1" applyFill="1" applyBorder="1" applyAlignment="1" applyProtection="1">
      <alignment horizontal="center" vertical="center" shrinkToFit="1"/>
      <protection locked="0"/>
    </xf>
    <xf numFmtId="0" fontId="25" fillId="0" borderId="0" xfId="0" applyNumberFormat="1" applyFont="1" applyFill="1" applyBorder="1" applyAlignment="1" applyProtection="1">
      <alignment horizontal="left"/>
    </xf>
    <xf numFmtId="0" fontId="26" fillId="0" borderId="0" xfId="0" applyNumberFormat="1" applyFont="1" applyFill="1" applyBorder="1" applyAlignment="1" applyProtection="1">
      <alignment horizontal="center" vertical="center"/>
    </xf>
    <xf numFmtId="0" fontId="1" fillId="3" borderId="0" xfId="0" applyFont="1" applyFill="1" applyAlignment="1">
      <alignment horizontal="centerContinuous"/>
    </xf>
    <xf numFmtId="177" fontId="9" fillId="3" borderId="0" xfId="0" applyNumberFormat="1" applyFont="1" applyFill="1" applyAlignment="1">
      <alignment horizontal="left" indent="1"/>
    </xf>
    <xf numFmtId="0" fontId="25" fillId="0" borderId="0" xfId="0" applyFont="1" applyFill="1" applyAlignment="1" applyProtection="1">
      <alignment shrinkToFit="1"/>
    </xf>
    <xf numFmtId="0" fontId="25" fillId="0" borderId="0" xfId="0" applyFont="1" applyFill="1" applyProtection="1"/>
    <xf numFmtId="0" fontId="25" fillId="0" borderId="0" xfId="0" applyFont="1" applyFill="1" applyAlignment="1" applyProtection="1">
      <alignment horizontal="center" vertical="center" shrinkToFit="1"/>
    </xf>
    <xf numFmtId="0" fontId="25" fillId="0" borderId="0" xfId="0" applyFont="1" applyFill="1" applyAlignment="1" applyProtection="1">
      <alignment horizontal="center" vertical="center"/>
    </xf>
    <xf numFmtId="0" fontId="24" fillId="5" borderId="37" xfId="4" applyFont="1" applyFill="1" applyBorder="1" applyAlignment="1" applyProtection="1">
      <alignment horizontal="center" vertical="center"/>
    </xf>
    <xf numFmtId="0" fontId="25" fillId="0" borderId="0" xfId="0" applyFont="1" applyFill="1" applyAlignment="1" applyProtection="1">
      <alignment wrapText="1" shrinkToFit="1"/>
    </xf>
    <xf numFmtId="0" fontId="45" fillId="0" borderId="0" xfId="0" applyFont="1" applyFill="1" applyAlignment="1" applyProtection="1">
      <alignment wrapText="1" shrinkToFit="1"/>
    </xf>
    <xf numFmtId="177" fontId="32" fillId="0" borderId="0" xfId="0" applyNumberFormat="1" applyFont="1" applyFill="1" applyAlignment="1" applyProtection="1">
      <alignment horizontal="left" wrapText="1" shrinkToFit="1"/>
    </xf>
    <xf numFmtId="0" fontId="50" fillId="0" borderId="0" xfId="0" applyFont="1" applyFill="1" applyBorder="1" applyAlignment="1" applyProtection="1">
      <alignment horizontal="center" wrapText="1"/>
    </xf>
    <xf numFmtId="0" fontId="3" fillId="3" borderId="0" xfId="0" applyFont="1" applyFill="1" applyBorder="1" applyAlignment="1">
      <alignment shrinkToFit="1"/>
    </xf>
    <xf numFmtId="0" fontId="4" fillId="3" borderId="39" xfId="0" applyFont="1" applyFill="1" applyBorder="1" applyAlignment="1">
      <alignment shrinkToFit="1"/>
    </xf>
    <xf numFmtId="0" fontId="4" fillId="3" borderId="40" xfId="0" applyFont="1" applyFill="1" applyBorder="1" applyAlignment="1">
      <alignment horizontal="left" vertical="center" shrinkToFit="1"/>
    </xf>
    <xf numFmtId="0" fontId="4" fillId="3" borderId="13" xfId="0" applyFont="1" applyFill="1" applyBorder="1" applyAlignment="1">
      <alignment horizontal="left" vertical="center" shrinkToFit="1"/>
    </xf>
    <xf numFmtId="0" fontId="4" fillId="3" borderId="41" xfId="0" applyFont="1" applyFill="1" applyBorder="1" applyAlignment="1">
      <alignment shrinkToFit="1"/>
    </xf>
    <xf numFmtId="0" fontId="23" fillId="0" borderId="0" xfId="0" applyFont="1" applyFill="1" applyBorder="1" applyAlignment="1" applyProtection="1">
      <alignment vertical="center" shrinkToFit="1"/>
    </xf>
    <xf numFmtId="177" fontId="22"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24" fillId="5" borderId="43" xfId="0" applyFont="1" applyFill="1" applyBorder="1" applyAlignment="1" applyProtection="1">
      <alignment horizontal="center" vertical="center"/>
    </xf>
    <xf numFmtId="0" fontId="26" fillId="0" borderId="4" xfId="0" applyNumberFormat="1" applyFont="1" applyFill="1" applyBorder="1" applyAlignment="1" applyProtection="1">
      <alignment horizontal="center" vertical="center"/>
    </xf>
    <xf numFmtId="0" fontId="4" fillId="3" borderId="0" xfId="0" applyFont="1" applyFill="1" applyBorder="1" applyAlignment="1">
      <alignment horizontal="left" shrinkToFit="1"/>
    </xf>
    <xf numFmtId="180" fontId="25" fillId="0" borderId="71" xfId="0" applyNumberFormat="1" applyFont="1" applyBorder="1" applyAlignment="1" applyProtection="1">
      <alignment horizontal="center" vertical="center" shrinkToFit="1"/>
    </xf>
    <xf numFmtId="182" fontId="25" fillId="0" borderId="72" xfId="0" applyNumberFormat="1" applyFont="1" applyFill="1" applyBorder="1" applyAlignment="1" applyProtection="1">
      <alignment shrinkToFit="1"/>
    </xf>
    <xf numFmtId="0" fontId="25" fillId="0" borderId="66" xfId="0" applyFont="1" applyFill="1" applyBorder="1" applyAlignment="1" applyProtection="1">
      <alignment shrinkToFit="1"/>
    </xf>
    <xf numFmtId="0" fontId="25" fillId="0" borderId="67" xfId="0" applyFont="1" applyFill="1" applyBorder="1" applyAlignment="1" applyProtection="1">
      <alignment shrinkToFit="1"/>
    </xf>
    <xf numFmtId="0" fontId="25" fillId="0" borderId="79" xfId="0" applyFont="1" applyFill="1" applyBorder="1" applyAlignment="1" applyProtection="1">
      <alignment shrinkToFit="1"/>
    </xf>
    <xf numFmtId="0" fontId="25" fillId="0" borderId="0" xfId="0" applyFont="1" applyFill="1" applyBorder="1" applyAlignment="1" applyProtection="1">
      <alignment shrinkToFit="1"/>
    </xf>
    <xf numFmtId="0" fontId="25" fillId="0" borderId="80" xfId="0" applyFont="1" applyFill="1" applyBorder="1" applyAlignment="1" applyProtection="1">
      <alignment shrinkToFit="1"/>
    </xf>
    <xf numFmtId="0" fontId="25" fillId="0" borderId="82" xfId="0" applyFont="1" applyFill="1" applyBorder="1" applyAlignment="1" applyProtection="1">
      <alignment shrinkToFit="1"/>
    </xf>
    <xf numFmtId="0" fontId="25" fillId="0" borderId="83" xfId="0" applyFont="1" applyFill="1" applyBorder="1" applyAlignment="1" applyProtection="1">
      <alignment shrinkToFit="1"/>
    </xf>
    <xf numFmtId="0" fontId="25" fillId="0" borderId="84" xfId="0" applyFont="1" applyFill="1" applyBorder="1" applyAlignment="1" applyProtection="1">
      <alignment shrinkToFit="1"/>
    </xf>
    <xf numFmtId="0" fontId="25" fillId="0" borderId="86" xfId="0" applyFont="1" applyFill="1" applyBorder="1" applyAlignment="1" applyProtection="1">
      <alignment shrinkToFit="1"/>
    </xf>
    <xf numFmtId="176" fontId="25" fillId="0" borderId="0" xfId="0" applyNumberFormat="1" applyFont="1" applyFill="1" applyBorder="1" applyAlignment="1" applyProtection="1">
      <alignment shrinkToFit="1"/>
    </xf>
    <xf numFmtId="0" fontId="25" fillId="0" borderId="88" xfId="0" applyFont="1" applyFill="1" applyBorder="1" applyAlignment="1" applyProtection="1">
      <alignment shrinkToFit="1"/>
    </xf>
    <xf numFmtId="0" fontId="25" fillId="0" borderId="89" xfId="0" applyFont="1" applyFill="1" applyBorder="1" applyAlignment="1" applyProtection="1">
      <alignment shrinkToFit="1"/>
    </xf>
    <xf numFmtId="0" fontId="3" fillId="3" borderId="0" xfId="0" applyFont="1" applyFill="1" applyBorder="1" applyAlignment="1">
      <alignment shrinkToFit="1"/>
    </xf>
    <xf numFmtId="177" fontId="9" fillId="3" borderId="0" xfId="0" applyNumberFormat="1" applyFont="1" applyFill="1" applyAlignment="1">
      <alignment horizontal="left" indent="1"/>
    </xf>
    <xf numFmtId="0" fontId="3" fillId="0" borderId="30" xfId="0" applyFont="1" applyFill="1" applyBorder="1"/>
    <xf numFmtId="183" fontId="25" fillId="0" borderId="70" xfId="0" applyNumberFormat="1" applyFont="1" applyFill="1" applyBorder="1" applyAlignment="1" applyProtection="1">
      <alignment vertical="center" shrinkToFit="1"/>
    </xf>
    <xf numFmtId="49" fontId="60" fillId="0" borderId="68" xfId="0" applyNumberFormat="1" applyFont="1" applyFill="1" applyBorder="1" applyAlignment="1" applyProtection="1">
      <alignment horizontal="center" vertical="center" shrinkToFit="1"/>
    </xf>
    <xf numFmtId="0" fontId="62" fillId="0" borderId="91" xfId="0" applyFont="1" applyFill="1" applyBorder="1"/>
    <xf numFmtId="0" fontId="61" fillId="0" borderId="92" xfId="0" applyFont="1" applyFill="1" applyBorder="1" applyAlignment="1" applyProtection="1">
      <alignment horizontal="right" vertical="center"/>
    </xf>
    <xf numFmtId="0" fontId="58" fillId="0" borderId="0" xfId="0" applyFont="1" applyFill="1" applyAlignment="1" applyProtection="1"/>
    <xf numFmtId="0" fontId="0" fillId="0" borderId="90" xfId="0" applyFill="1" applyBorder="1" applyAlignment="1" applyProtection="1"/>
    <xf numFmtId="0" fontId="61" fillId="0" borderId="91" xfId="0" applyFont="1" applyFill="1" applyBorder="1" applyAlignment="1" applyProtection="1">
      <alignment horizontal="left"/>
    </xf>
    <xf numFmtId="0" fontId="0" fillId="0" borderId="92" xfId="0" applyFill="1" applyBorder="1" applyAlignment="1" applyProtection="1"/>
    <xf numFmtId="0" fontId="0" fillId="0" borderId="94" xfId="0" applyFill="1" applyBorder="1" applyAlignment="1" applyProtection="1"/>
    <xf numFmtId="0" fontId="23" fillId="0" borderId="94" xfId="0" applyFont="1" applyFill="1" applyBorder="1" applyAlignment="1" applyProtection="1"/>
    <xf numFmtId="176" fontId="25" fillId="0" borderId="0" xfId="0" applyNumberFormat="1" applyFont="1" applyFill="1" applyBorder="1" applyAlignment="1" applyProtection="1">
      <alignment horizontal="left" shrinkToFit="1"/>
    </xf>
    <xf numFmtId="0" fontId="25" fillId="0" borderId="0" xfId="0" applyFont="1" applyFill="1" applyBorder="1" applyAlignment="1" applyProtection="1">
      <alignment horizontal="left" shrinkToFit="1"/>
    </xf>
    <xf numFmtId="0" fontId="25" fillId="0" borderId="0" xfId="0" applyFont="1" applyFill="1" applyAlignment="1" applyProtection="1">
      <alignment horizontal="left" shrinkToFit="1"/>
    </xf>
    <xf numFmtId="176" fontId="43" fillId="0" borderId="0" xfId="0" applyNumberFormat="1" applyFont="1" applyFill="1" applyAlignment="1" applyProtection="1">
      <alignment horizontal="right" shrinkToFit="1"/>
    </xf>
    <xf numFmtId="0" fontId="58" fillId="0" borderId="66" xfId="0" applyFont="1" applyFill="1" applyBorder="1" applyAlignment="1" applyProtection="1">
      <alignment shrinkToFit="1"/>
    </xf>
    <xf numFmtId="0" fontId="44" fillId="0" borderId="66" xfId="0" applyFont="1" applyFill="1" applyBorder="1" applyAlignment="1" applyProtection="1">
      <alignment horizontal="center" vertical="center" shrinkToFit="1"/>
    </xf>
    <xf numFmtId="176" fontId="43" fillId="0" borderId="66" xfId="0" applyNumberFormat="1" applyFont="1" applyFill="1" applyBorder="1" applyAlignment="1" applyProtection="1">
      <alignment horizontal="right" shrinkToFit="1"/>
    </xf>
    <xf numFmtId="0" fontId="31" fillId="0" borderId="0" xfId="0" applyFont="1" applyFill="1" applyAlignment="1" applyProtection="1">
      <alignment shrinkToFit="1"/>
    </xf>
    <xf numFmtId="0" fontId="31" fillId="0" borderId="0" xfId="0" applyFont="1" applyFill="1" applyAlignment="1" applyProtection="1">
      <alignment horizontal="left" shrinkToFit="1"/>
    </xf>
    <xf numFmtId="0" fontId="25" fillId="0" borderId="0" xfId="0" applyFont="1" applyFill="1" applyAlignment="1" applyProtection="1">
      <alignment horizontal="right" shrinkToFit="1"/>
    </xf>
    <xf numFmtId="0" fontId="25" fillId="0" borderId="0" xfId="0" applyFont="1" applyFill="1" applyAlignment="1" applyProtection="1">
      <alignment horizontal="left" vertical="center" shrinkToFit="1"/>
    </xf>
    <xf numFmtId="0" fontId="25" fillId="0" borderId="0" xfId="0" applyFont="1" applyFill="1" applyAlignment="1" applyProtection="1">
      <alignment horizontal="right" vertical="center" shrinkToFit="1"/>
    </xf>
    <xf numFmtId="0" fontId="25" fillId="0" borderId="81" xfId="0" applyFont="1" applyFill="1" applyBorder="1" applyAlignment="1" applyProtection="1">
      <alignment shrinkToFit="1"/>
    </xf>
    <xf numFmtId="0" fontId="46" fillId="0" borderId="81" xfId="0" applyFont="1" applyFill="1" applyBorder="1" applyAlignment="1" applyProtection="1">
      <alignment shrinkToFit="1"/>
    </xf>
    <xf numFmtId="0" fontId="25" fillId="0" borderId="0" xfId="0" applyFont="1" applyFill="1" applyBorder="1" applyAlignment="1" applyProtection="1">
      <alignment horizontal="right" shrinkToFit="1"/>
    </xf>
    <xf numFmtId="176" fontId="25" fillId="0" borderId="0" xfId="0" applyNumberFormat="1" applyFont="1" applyFill="1" applyBorder="1" applyAlignment="1" applyProtection="1">
      <alignment horizontal="right" shrinkToFit="1"/>
    </xf>
    <xf numFmtId="0" fontId="51" fillId="0" borderId="69" xfId="0" applyFont="1" applyFill="1" applyBorder="1" applyAlignment="1" applyProtection="1">
      <alignment shrinkToFit="1"/>
    </xf>
    <xf numFmtId="38" fontId="46" fillId="0" borderId="85" xfId="0" applyNumberFormat="1" applyFont="1" applyFill="1" applyBorder="1" applyAlignment="1" applyProtection="1">
      <alignment vertical="center" shrinkToFit="1"/>
    </xf>
    <xf numFmtId="38" fontId="46" fillId="0" borderId="85" xfId="2" applyFont="1" applyFill="1" applyBorder="1" applyAlignment="1" applyProtection="1">
      <alignment shrinkToFit="1"/>
    </xf>
    <xf numFmtId="38" fontId="25" fillId="0" borderId="0" xfId="2" applyFont="1" applyFill="1" applyBorder="1" applyAlignment="1" applyProtection="1">
      <alignment shrinkToFit="1"/>
    </xf>
    <xf numFmtId="0" fontId="46" fillId="0" borderId="85" xfId="0" applyFont="1" applyFill="1" applyBorder="1" applyAlignment="1" applyProtection="1">
      <alignment shrinkToFit="1"/>
    </xf>
    <xf numFmtId="0" fontId="46" fillId="0" borderId="87" xfId="0" applyFont="1" applyFill="1" applyBorder="1" applyAlignment="1" applyProtection="1">
      <alignment shrinkToFit="1"/>
    </xf>
    <xf numFmtId="0" fontId="47" fillId="0" borderId="80" xfId="1" applyFont="1" applyFill="1" applyBorder="1" applyAlignment="1" applyProtection="1">
      <alignment shrinkToFit="1"/>
      <protection hidden="1"/>
    </xf>
    <xf numFmtId="0" fontId="25" fillId="0" borderId="80" xfId="0" applyFont="1" applyFill="1" applyBorder="1" applyAlignment="1" applyProtection="1">
      <alignment horizontal="right" shrinkToFit="1"/>
    </xf>
    <xf numFmtId="0" fontId="47" fillId="0" borderId="79" xfId="1" applyFont="1" applyFill="1" applyBorder="1" applyAlignment="1" applyProtection="1">
      <alignment shrinkToFit="1"/>
      <protection hidden="1"/>
    </xf>
    <xf numFmtId="0" fontId="47" fillId="0" borderId="0" xfId="1" applyFont="1" applyFill="1" applyBorder="1" applyAlignment="1" applyProtection="1">
      <alignment vertical="center" shrinkToFit="1"/>
      <protection hidden="1"/>
    </xf>
    <xf numFmtId="0" fontId="47" fillId="0" borderId="0" xfId="1" applyFont="1" applyFill="1" applyBorder="1" applyAlignment="1" applyProtection="1">
      <alignment shrinkToFit="1"/>
      <protection hidden="1"/>
    </xf>
    <xf numFmtId="0" fontId="48" fillId="0" borderId="0" xfId="0" applyFont="1" applyFill="1" applyBorder="1" applyAlignment="1" applyProtection="1">
      <alignment horizontal="right" shrinkToFit="1"/>
    </xf>
    <xf numFmtId="0" fontId="47" fillId="0" borderId="80" xfId="1" applyFont="1" applyFill="1" applyBorder="1" applyAlignment="1" applyProtection="1">
      <alignment vertical="center" shrinkToFit="1"/>
      <protection hidden="1"/>
    </xf>
    <xf numFmtId="0" fontId="47" fillId="0" borderId="79" xfId="1" applyFont="1" applyFill="1" applyBorder="1" applyAlignment="1" applyProtection="1">
      <alignment vertical="center" shrinkToFit="1"/>
      <protection hidden="1"/>
    </xf>
    <xf numFmtId="179" fontId="46" fillId="0" borderId="85" xfId="0" applyNumberFormat="1" applyFont="1" applyFill="1" applyBorder="1" applyAlignment="1" applyProtection="1">
      <alignment shrinkToFit="1"/>
    </xf>
    <xf numFmtId="179" fontId="25" fillId="0" borderId="0" xfId="0" applyNumberFormat="1" applyFont="1" applyFill="1" applyBorder="1" applyAlignment="1" applyProtection="1">
      <alignment shrinkToFit="1"/>
    </xf>
    <xf numFmtId="0" fontId="25" fillId="0" borderId="80" xfId="0" applyFont="1" applyFill="1" applyBorder="1" applyAlignment="1" applyProtection="1">
      <alignment horizontal="left" shrinkToFit="1"/>
    </xf>
    <xf numFmtId="0" fontId="25" fillId="0" borderId="79" xfId="0" applyFont="1" applyFill="1" applyBorder="1" applyAlignment="1" applyProtection="1">
      <alignment horizontal="left" shrinkToFit="1"/>
    </xf>
    <xf numFmtId="179" fontId="25" fillId="0" borderId="85" xfId="0" applyNumberFormat="1" applyFont="1" applyFill="1" applyBorder="1" applyAlignment="1" applyProtection="1">
      <alignment shrinkToFit="1"/>
    </xf>
    <xf numFmtId="0" fontId="25" fillId="0" borderId="85" xfId="0" applyFont="1" applyFill="1" applyBorder="1" applyAlignment="1" applyProtection="1">
      <alignment shrinkToFit="1"/>
    </xf>
    <xf numFmtId="0" fontId="25" fillId="0" borderId="87" xfId="0" applyFont="1" applyFill="1" applyBorder="1" applyAlignment="1" applyProtection="1">
      <alignment shrinkToFit="1"/>
    </xf>
    <xf numFmtId="0" fontId="24" fillId="0" borderId="73" xfId="0" applyFont="1" applyFill="1" applyBorder="1" applyAlignment="1" applyProtection="1">
      <alignment horizontal="center" vertical="center" shrinkToFit="1"/>
    </xf>
    <xf numFmtId="0" fontId="25" fillId="0" borderId="74" xfId="0" applyFont="1" applyFill="1" applyBorder="1" applyAlignment="1" applyProtection="1">
      <alignment horizontal="center" vertical="center" shrinkToFit="1"/>
    </xf>
    <xf numFmtId="0" fontId="33" fillId="0" borderId="76" xfId="0" applyFont="1" applyFill="1" applyBorder="1" applyAlignment="1" applyProtection="1">
      <alignment horizontal="center" vertical="center" wrapText="1" shrinkToFit="1"/>
    </xf>
    <xf numFmtId="0" fontId="25" fillId="0" borderId="75" xfId="0" applyFont="1" applyFill="1" applyBorder="1" applyAlignment="1" applyProtection="1">
      <alignment horizontal="center" vertical="center" shrinkToFit="1"/>
    </xf>
    <xf numFmtId="0" fontId="25" fillId="0" borderId="77" xfId="0" applyFont="1" applyFill="1" applyBorder="1" applyAlignment="1" applyProtection="1">
      <alignment horizontal="center" vertical="center" shrinkToFit="1"/>
    </xf>
    <xf numFmtId="0" fontId="25" fillId="0" borderId="78" xfId="0" applyFont="1" applyFill="1" applyBorder="1" applyAlignment="1" applyProtection="1">
      <alignment horizontal="center" vertical="center" shrinkToFit="1"/>
    </xf>
    <xf numFmtId="14" fontId="63" fillId="0" borderId="65" xfId="0" applyNumberFormat="1" applyFont="1" applyFill="1" applyBorder="1" applyAlignment="1" applyProtection="1">
      <alignment shrinkToFit="1"/>
    </xf>
    <xf numFmtId="3" fontId="25" fillId="0" borderId="98" xfId="0" applyNumberFormat="1" applyFont="1" applyFill="1" applyBorder="1" applyAlignment="1" applyProtection="1">
      <alignment horizontal="right" shrinkToFit="1"/>
    </xf>
    <xf numFmtId="3" fontId="25" fillId="0" borderId="99" xfId="0" applyNumberFormat="1" applyFont="1" applyFill="1" applyBorder="1" applyAlignment="1" applyProtection="1">
      <alignment horizontal="right" shrinkToFit="1"/>
    </xf>
    <xf numFmtId="184" fontId="58" fillId="0" borderId="101" xfId="0" applyNumberFormat="1" applyFont="1" applyFill="1" applyBorder="1" applyAlignment="1" applyProtection="1">
      <alignment shrinkToFit="1"/>
    </xf>
    <xf numFmtId="184" fontId="58" fillId="0" borderId="101" xfId="0" applyNumberFormat="1" applyFont="1" applyFill="1" applyBorder="1" applyAlignment="1" applyProtection="1">
      <alignment vertical="center" shrinkToFit="1"/>
    </xf>
    <xf numFmtId="184" fontId="58" fillId="0" borderId="102" xfId="0" applyNumberFormat="1" applyFont="1" applyFill="1" applyBorder="1" applyAlignment="1" applyProtection="1">
      <alignment vertical="top" shrinkToFit="1"/>
    </xf>
    <xf numFmtId="0" fontId="64" fillId="0" borderId="100" xfId="0" applyFont="1" applyFill="1" applyBorder="1" applyAlignment="1" applyProtection="1"/>
    <xf numFmtId="0" fontId="15" fillId="3" borderId="0" xfId="0" applyFont="1" applyFill="1" applyBorder="1" applyAlignment="1" applyProtection="1">
      <alignment horizontal="left" vertical="top"/>
    </xf>
    <xf numFmtId="187" fontId="13" fillId="3" borderId="0" xfId="0" applyNumberFormat="1" applyFont="1" applyFill="1" applyBorder="1" applyAlignment="1" applyProtection="1">
      <alignment horizontal="center" vertical="center" shrinkToFit="1"/>
    </xf>
    <xf numFmtId="187" fontId="0" fillId="0" borderId="0" xfId="0" applyNumberFormat="1" applyFill="1" applyAlignment="1" applyProtection="1"/>
    <xf numFmtId="187" fontId="25" fillId="0" borderId="0" xfId="0" applyNumberFormat="1" applyFont="1" applyFill="1" applyBorder="1" applyAlignment="1" applyProtection="1">
      <alignment horizontal="left"/>
    </xf>
    <xf numFmtId="0" fontId="65" fillId="3" borderId="0" xfId="0" applyFont="1" applyFill="1" applyBorder="1" applyAlignment="1" applyProtection="1">
      <alignment horizontal="right"/>
    </xf>
    <xf numFmtId="0" fontId="66" fillId="3" borderId="18" xfId="0" applyNumberFormat="1" applyFont="1" applyFill="1" applyBorder="1" applyAlignment="1">
      <alignment horizontal="center"/>
    </xf>
    <xf numFmtId="0" fontId="25" fillId="0" borderId="19" xfId="0" applyFont="1" applyFill="1" applyBorder="1" applyAlignment="1">
      <alignment horizontal="center" vertical="center"/>
    </xf>
    <xf numFmtId="0" fontId="67" fillId="0" borderId="93" xfId="0" applyFont="1" applyFill="1" applyBorder="1" applyAlignment="1" applyProtection="1">
      <alignment vertical="center"/>
    </xf>
    <xf numFmtId="0" fontId="22" fillId="0" borderId="0" xfId="0" applyFont="1" applyFill="1" applyBorder="1" applyAlignment="1" applyProtection="1">
      <alignment horizontal="left" vertical="center"/>
    </xf>
    <xf numFmtId="0" fontId="4" fillId="0" borderId="0" xfId="0" applyFont="1" applyFill="1" applyAlignment="1" applyProtection="1">
      <alignment horizontal="right" vertical="top"/>
    </xf>
    <xf numFmtId="0" fontId="3" fillId="3" borderId="39" xfId="0" applyFont="1" applyFill="1" applyBorder="1" applyAlignment="1">
      <alignment shrinkToFit="1"/>
    </xf>
    <xf numFmtId="0" fontId="4" fillId="3" borderId="0" xfId="0" applyFont="1" applyFill="1" applyBorder="1" applyAlignment="1">
      <alignment vertical="top" wrapText="1" shrinkToFit="1"/>
    </xf>
    <xf numFmtId="0" fontId="69" fillId="0" borderId="0" xfId="0" applyFont="1" applyFill="1" applyAlignment="1" applyProtection="1"/>
    <xf numFmtId="0" fontId="0" fillId="0" borderId="0" xfId="0" applyFont="1" applyFill="1" applyBorder="1" applyAlignment="1" applyProtection="1">
      <alignment horizontal="center"/>
    </xf>
    <xf numFmtId="0" fontId="10" fillId="3" borderId="0" xfId="0" applyFont="1" applyFill="1" applyBorder="1" applyAlignment="1">
      <alignment horizontal="center" vertical="center" textRotation="255"/>
    </xf>
    <xf numFmtId="0" fontId="4" fillId="3" borderId="0" xfId="0" applyFont="1" applyFill="1" applyBorder="1" applyAlignment="1">
      <alignment horizontal="center"/>
    </xf>
    <xf numFmtId="176" fontId="8" fillId="3" borderId="0" xfId="2" applyNumberFormat="1" applyFont="1" applyFill="1" applyBorder="1" applyAlignment="1">
      <alignment vertical="center"/>
    </xf>
    <xf numFmtId="0" fontId="4" fillId="3" borderId="0" xfId="0" applyFont="1" applyFill="1" applyBorder="1" applyAlignment="1">
      <alignment horizontal="left" vertical="center" shrinkToFit="1"/>
    </xf>
    <xf numFmtId="0" fontId="4" fillId="3" borderId="0" xfId="0" applyFont="1" applyFill="1" applyBorder="1" applyAlignment="1">
      <alignment shrinkToFit="1"/>
    </xf>
    <xf numFmtId="0" fontId="25" fillId="0" borderId="0" xfId="0" applyFont="1" applyFill="1" applyBorder="1" applyAlignment="1" applyProtection="1">
      <alignment wrapText="1" shrinkToFit="1"/>
    </xf>
    <xf numFmtId="0" fontId="4" fillId="3" borderId="0" xfId="0" applyFont="1" applyFill="1" applyBorder="1" applyAlignment="1">
      <alignment vertical="top"/>
    </xf>
    <xf numFmtId="0" fontId="0" fillId="4" borderId="0" xfId="0" applyFill="1" applyBorder="1" applyAlignment="1" applyProtection="1"/>
    <xf numFmtId="0" fontId="69" fillId="0" borderId="0" xfId="0" applyFont="1" applyFill="1" applyAlignment="1" applyProtection="1">
      <protection locked="0"/>
    </xf>
    <xf numFmtId="0" fontId="53" fillId="0" borderId="0" xfId="0" applyNumberFormat="1" applyFont="1" applyFill="1" applyBorder="1" applyAlignment="1" applyProtection="1">
      <alignment horizontal="center" vertical="center"/>
    </xf>
    <xf numFmtId="0" fontId="54" fillId="0" borderId="0" xfId="0" applyNumberFormat="1" applyFont="1" applyFill="1" applyBorder="1" applyAlignment="1" applyProtection="1">
      <alignment horizontal="center" vertical="top" textRotation="255"/>
    </xf>
    <xf numFmtId="0" fontId="0" fillId="0" borderId="0" xfId="0" applyFont="1" applyFill="1" applyBorder="1" applyAlignment="1" applyProtection="1">
      <alignment horizontal="center" vertical="center"/>
    </xf>
    <xf numFmtId="177" fontId="9" fillId="3" borderId="0" xfId="0" applyNumberFormat="1" applyFont="1" applyFill="1" applyAlignment="1">
      <alignment horizontal="left" indent="1"/>
    </xf>
    <xf numFmtId="0" fontId="24" fillId="5" borderId="103" xfId="0" applyFont="1" applyFill="1" applyBorder="1" applyAlignment="1" applyProtection="1">
      <alignment horizontal="center" vertical="center"/>
    </xf>
    <xf numFmtId="185" fontId="30" fillId="0" borderId="37" xfId="0" applyNumberFormat="1" applyFont="1" applyFill="1" applyBorder="1" applyAlignment="1" applyProtection="1">
      <alignment horizontal="left" vertical="center" shrinkToFit="1"/>
    </xf>
    <xf numFmtId="185" fontId="30" fillId="0" borderId="36" xfId="0" applyNumberFormat="1" applyFont="1" applyFill="1" applyBorder="1" applyAlignment="1" applyProtection="1">
      <alignment horizontal="left" vertical="center" shrinkToFit="1"/>
    </xf>
    <xf numFmtId="186" fontId="25" fillId="0" borderId="36" xfId="0" applyNumberFormat="1" applyFont="1" applyFill="1" applyBorder="1" applyAlignment="1" applyProtection="1">
      <alignment horizontal="left" vertical="center" shrinkToFit="1"/>
    </xf>
    <xf numFmtId="0" fontId="22" fillId="0" borderId="19" xfId="0" applyNumberFormat="1" applyFont="1" applyFill="1" applyBorder="1" applyAlignment="1" applyProtection="1">
      <alignment horizontal="center" vertical="center" shrinkToFit="1"/>
    </xf>
    <xf numFmtId="0" fontId="25" fillId="0" borderId="0" xfId="0" applyFont="1" applyFill="1" applyBorder="1" applyAlignment="1">
      <alignment horizontal="center" vertical="center"/>
    </xf>
    <xf numFmtId="0" fontId="22" fillId="0" borderId="0" xfId="0" applyNumberFormat="1" applyFont="1" applyFill="1" applyBorder="1" applyAlignment="1" applyProtection="1">
      <alignment horizontal="center" vertical="center" shrinkToFit="1"/>
    </xf>
    <xf numFmtId="0" fontId="34" fillId="0" borderId="0" xfId="0" applyNumberFormat="1" applyFont="1" applyFill="1" applyBorder="1" applyAlignment="1" applyProtection="1">
      <alignment horizontal="center" vertical="center" shrinkToFit="1"/>
    </xf>
    <xf numFmtId="0" fontId="22" fillId="0" borderId="19" xfId="0" applyNumberFormat="1"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188" fontId="22" fillId="0" borderId="0" xfId="0" applyNumberFormat="1" applyFont="1" applyFill="1" applyBorder="1" applyAlignment="1" applyProtection="1">
      <alignment horizontal="center" vertical="center" shrinkToFit="1"/>
    </xf>
    <xf numFmtId="187" fontId="22" fillId="0" borderId="0" xfId="0" applyNumberFormat="1" applyFont="1" applyFill="1" applyBorder="1" applyAlignment="1" applyProtection="1">
      <alignment horizontal="center" vertical="center" shrinkToFit="1"/>
    </xf>
    <xf numFmtId="189" fontId="7" fillId="3" borderId="0" xfId="0" applyNumberFormat="1" applyFont="1" applyFill="1" applyAlignment="1">
      <alignment horizontal="centerContinuous" vertical="center"/>
    </xf>
    <xf numFmtId="0" fontId="3" fillId="0" borderId="31" xfId="0" applyFont="1" applyFill="1" applyBorder="1"/>
    <xf numFmtId="0" fontId="3" fillId="0" borderId="33" xfId="0" applyFont="1" applyFill="1" applyBorder="1"/>
    <xf numFmtId="178" fontId="6" fillId="0" borderId="59" xfId="0" applyNumberFormat="1" applyFont="1" applyFill="1" applyBorder="1" applyAlignment="1">
      <alignment shrinkToFit="1"/>
    </xf>
    <xf numFmtId="190" fontId="24" fillId="0" borderId="0" xfId="0" applyNumberFormat="1" applyFont="1" applyFill="1" applyBorder="1" applyAlignment="1" applyProtection="1">
      <alignment shrinkToFit="1"/>
    </xf>
    <xf numFmtId="176" fontId="49" fillId="0" borderId="0" xfId="2" applyNumberFormat="1" applyFont="1" applyFill="1" applyBorder="1" applyAlignment="1">
      <alignment horizontal="right" shrinkToFit="1"/>
    </xf>
    <xf numFmtId="0" fontId="51" fillId="0" borderId="0" xfId="0" applyFont="1" applyFill="1" applyBorder="1" applyAlignment="1" applyProtection="1">
      <alignment shrinkToFit="1"/>
    </xf>
    <xf numFmtId="182" fontId="25" fillId="0" borderId="104" xfId="0" applyNumberFormat="1" applyFont="1" applyFill="1" applyBorder="1" applyAlignment="1" applyProtection="1">
      <alignment shrinkToFit="1"/>
    </xf>
    <xf numFmtId="0" fontId="3" fillId="0" borderId="27" xfId="0" applyFont="1" applyFill="1" applyBorder="1"/>
    <xf numFmtId="178" fontId="6" fillId="0" borderId="64" xfId="0" applyNumberFormat="1" applyFont="1" applyFill="1" applyBorder="1" applyAlignment="1">
      <alignment shrinkToFit="1"/>
    </xf>
    <xf numFmtId="0" fontId="72" fillId="0" borderId="34" xfId="0" applyFont="1" applyFill="1" applyBorder="1"/>
    <xf numFmtId="0" fontId="4" fillId="3" borderId="32" xfId="0" applyFont="1" applyFill="1" applyBorder="1"/>
    <xf numFmtId="38" fontId="73" fillId="0" borderId="85" xfId="2" applyFont="1" applyFill="1" applyBorder="1" applyAlignment="1" applyProtection="1">
      <alignment shrinkToFit="1"/>
    </xf>
    <xf numFmtId="38" fontId="73" fillId="0" borderId="0" xfId="2" applyFont="1" applyFill="1" applyBorder="1" applyAlignment="1" applyProtection="1">
      <alignment shrinkToFit="1"/>
    </xf>
    <xf numFmtId="176" fontId="73" fillId="0" borderId="0" xfId="0" applyNumberFormat="1" applyFont="1" applyFill="1" applyBorder="1" applyAlignment="1" applyProtection="1">
      <alignment horizontal="right" shrinkToFit="1"/>
    </xf>
    <xf numFmtId="176" fontId="73" fillId="0" borderId="6" xfId="2" applyNumberFormat="1" applyFont="1" applyFill="1" applyBorder="1" applyAlignment="1">
      <alignment horizontal="right" shrinkToFit="1"/>
    </xf>
    <xf numFmtId="0" fontId="25" fillId="0" borderId="19" xfId="0" applyNumberFormat="1" applyFont="1" applyFill="1" applyBorder="1" applyAlignment="1" applyProtection="1">
      <alignment horizontal="left"/>
    </xf>
    <xf numFmtId="0" fontId="25" fillId="0" borderId="21" xfId="0" applyNumberFormat="1" applyFont="1" applyFill="1" applyBorder="1" applyAlignment="1" applyProtection="1">
      <alignment horizontal="left"/>
    </xf>
    <xf numFmtId="0" fontId="52" fillId="3" borderId="0" xfId="0" applyFont="1" applyFill="1" applyAlignment="1">
      <alignment horizontal="left"/>
    </xf>
    <xf numFmtId="0" fontId="46" fillId="0" borderId="19" xfId="0" applyNumberFormat="1" applyFont="1" applyFill="1" applyBorder="1" applyAlignment="1">
      <alignment horizontal="center" vertical="center"/>
    </xf>
    <xf numFmtId="0" fontId="73" fillId="0" borderId="6" xfId="0" applyFont="1" applyFill="1" applyBorder="1" applyAlignment="1" applyProtection="1">
      <alignment shrinkToFit="1"/>
    </xf>
    <xf numFmtId="0" fontId="25" fillId="0" borderId="6" xfId="0" applyFont="1" applyFill="1" applyBorder="1" applyAlignment="1" applyProtection="1">
      <alignment horizontal="right" shrinkToFit="1"/>
    </xf>
    <xf numFmtId="176" fontId="73" fillId="0" borderId="6" xfId="0" applyNumberFormat="1" applyFont="1" applyFill="1" applyBorder="1" applyAlignment="1" applyProtection="1">
      <alignment horizontal="right" shrinkToFit="1"/>
    </xf>
    <xf numFmtId="38" fontId="73" fillId="0" borderId="6" xfId="2" applyFont="1" applyFill="1" applyBorder="1" applyAlignment="1" applyProtection="1">
      <alignment shrinkToFit="1"/>
    </xf>
    <xf numFmtId="3" fontId="25" fillId="0" borderId="105" xfId="0" applyNumberFormat="1" applyFont="1" applyFill="1" applyBorder="1" applyAlignment="1" applyProtection="1">
      <alignment horizontal="right" shrinkToFit="1"/>
    </xf>
    <xf numFmtId="3" fontId="25" fillId="0" borderId="104" xfId="0" applyNumberFormat="1" applyFont="1" applyFill="1" applyBorder="1" applyAlignment="1" applyProtection="1">
      <alignment horizontal="right" shrinkToFit="1"/>
    </xf>
    <xf numFmtId="186" fontId="74" fillId="0" borderId="38" xfId="0" applyNumberFormat="1" applyFont="1" applyFill="1" applyBorder="1" applyAlignment="1" applyProtection="1">
      <alignment horizontal="left" vertical="center" shrinkToFit="1"/>
    </xf>
    <xf numFmtId="186" fontId="30" fillId="0" borderId="103" xfId="0" applyNumberFormat="1" applyFont="1" applyFill="1" applyBorder="1" applyAlignment="1" applyProtection="1">
      <alignment horizontal="left" vertical="center" shrinkToFit="1"/>
    </xf>
    <xf numFmtId="188" fontId="75" fillId="0" borderId="19" xfId="0" applyNumberFormat="1" applyFont="1" applyFill="1" applyBorder="1" applyAlignment="1" applyProtection="1">
      <alignment horizontal="center" vertical="center" shrinkToFit="1"/>
    </xf>
    <xf numFmtId="187" fontId="75" fillId="0" borderId="6" xfId="0" applyNumberFormat="1" applyFont="1" applyFill="1" applyBorder="1" applyAlignment="1" applyProtection="1">
      <alignment horizontal="center" vertical="center" shrinkToFit="1"/>
    </xf>
    <xf numFmtId="0" fontId="25" fillId="0" borderId="106" xfId="0" applyFont="1" applyFill="1" applyBorder="1" applyAlignment="1" applyProtection="1">
      <alignment shrinkToFit="1"/>
    </xf>
    <xf numFmtId="0" fontId="76" fillId="0" borderId="6" xfId="0" applyFont="1" applyFill="1" applyBorder="1" applyAlignment="1" applyProtection="1">
      <alignment shrinkToFit="1"/>
    </xf>
    <xf numFmtId="0" fontId="73" fillId="0" borderId="0" xfId="0" applyFont="1" applyFill="1" applyBorder="1" applyAlignment="1" applyProtection="1">
      <alignment shrinkToFit="1"/>
    </xf>
    <xf numFmtId="0" fontId="25" fillId="0" borderId="107" xfId="0" applyFont="1" applyFill="1" applyBorder="1" applyAlignment="1" applyProtection="1">
      <alignment shrinkToFit="1"/>
    </xf>
    <xf numFmtId="0" fontId="76" fillId="0" borderId="0" xfId="0" applyFont="1" applyFill="1" applyBorder="1" applyAlignment="1" applyProtection="1">
      <alignment shrinkToFit="1"/>
    </xf>
    <xf numFmtId="0" fontId="25" fillId="0" borderId="106" xfId="0" applyFont="1" applyFill="1" applyBorder="1" applyAlignment="1" applyProtection="1">
      <alignment horizontal="right" shrinkToFit="1"/>
    </xf>
    <xf numFmtId="0" fontId="4" fillId="3" borderId="14" xfId="0" applyFont="1" applyFill="1" applyBorder="1" applyAlignment="1" applyProtection="1">
      <alignment horizontal="center"/>
    </xf>
    <xf numFmtId="0" fontId="4" fillId="3" borderId="15" xfId="0" applyFont="1" applyFill="1" applyBorder="1" applyProtection="1"/>
    <xf numFmtId="0" fontId="4" fillId="3" borderId="5" xfId="0" applyFont="1" applyFill="1" applyBorder="1" applyProtection="1"/>
    <xf numFmtId="0" fontId="4" fillId="3" borderId="16" xfId="0" applyFont="1" applyFill="1" applyBorder="1" applyProtection="1"/>
    <xf numFmtId="178" fontId="6" fillId="3" borderId="17" xfId="0" applyNumberFormat="1" applyFont="1" applyFill="1" applyBorder="1" applyAlignment="1" applyProtection="1">
      <alignment shrinkToFit="1"/>
    </xf>
    <xf numFmtId="0" fontId="4" fillId="3" borderId="18" xfId="0" applyFont="1" applyFill="1" applyBorder="1" applyAlignment="1" applyProtection="1">
      <alignment horizontal="center"/>
    </xf>
    <xf numFmtId="0" fontId="4" fillId="3" borderId="19" xfId="0" applyFont="1" applyFill="1" applyBorder="1" applyProtection="1"/>
    <xf numFmtId="0" fontId="4" fillId="3" borderId="20" xfId="0" applyFont="1" applyFill="1" applyBorder="1" applyProtection="1"/>
    <xf numFmtId="0" fontId="4" fillId="3" borderId="21" xfId="0" applyFont="1" applyFill="1" applyBorder="1" applyProtection="1"/>
    <xf numFmtId="178" fontId="6" fillId="3" borderId="22" xfId="0" applyNumberFormat="1" applyFont="1" applyFill="1" applyBorder="1" applyAlignment="1" applyProtection="1">
      <alignment shrinkToFit="1"/>
    </xf>
    <xf numFmtId="0" fontId="9" fillId="3" borderId="18" xfId="0" applyNumberFormat="1" applyFont="1" applyFill="1" applyBorder="1" applyAlignment="1" applyProtection="1">
      <alignment horizontal="center"/>
    </xf>
    <xf numFmtId="0" fontId="4" fillId="3" borderId="32" xfId="0" applyFont="1" applyFill="1" applyBorder="1" applyProtection="1"/>
    <xf numFmtId="0" fontId="3" fillId="0" borderId="31" xfId="0" applyFont="1" applyFill="1" applyBorder="1" applyProtection="1"/>
    <xf numFmtId="0" fontId="3" fillId="0" borderId="33" xfId="0" applyFont="1" applyFill="1" applyBorder="1" applyProtection="1"/>
    <xf numFmtId="178" fontId="6" fillId="0" borderId="59" xfId="0" applyNumberFormat="1" applyFont="1" applyFill="1" applyBorder="1" applyAlignment="1" applyProtection="1">
      <alignment shrinkToFit="1"/>
    </xf>
    <xf numFmtId="0" fontId="4" fillId="3" borderId="23" xfId="0" applyFont="1" applyFill="1" applyBorder="1" applyProtection="1"/>
    <xf numFmtId="0" fontId="72" fillId="0" borderId="34" xfId="0" applyFont="1" applyFill="1" applyBorder="1" applyProtection="1"/>
    <xf numFmtId="0" fontId="3" fillId="0" borderId="27" xfId="0" applyFont="1" applyFill="1" applyBorder="1" applyProtection="1"/>
    <xf numFmtId="178" fontId="6" fillId="0" borderId="64" xfId="0" applyNumberFormat="1" applyFont="1" applyFill="1" applyBorder="1" applyAlignment="1" applyProtection="1">
      <alignment shrinkToFit="1"/>
    </xf>
    <xf numFmtId="0" fontId="4" fillId="3" borderId="24" xfId="0" applyFont="1" applyFill="1" applyBorder="1" applyAlignment="1" applyProtection="1">
      <alignment horizontal="center"/>
    </xf>
    <xf numFmtId="0" fontId="66" fillId="3" borderId="18" xfId="0" applyNumberFormat="1" applyFont="1" applyFill="1" applyBorder="1" applyAlignment="1" applyProtection="1">
      <alignment horizontal="center"/>
    </xf>
    <xf numFmtId="188" fontId="75" fillId="0" borderId="33" xfId="0" applyNumberFormat="1" applyFont="1" applyFill="1" applyBorder="1" applyAlignment="1" applyProtection="1">
      <alignment horizontal="center" vertical="center" shrinkToFit="1"/>
    </xf>
    <xf numFmtId="187" fontId="75" fillId="0" borderId="33" xfId="0" applyNumberFormat="1" applyFont="1" applyFill="1" applyBorder="1" applyAlignment="1" applyProtection="1">
      <alignment horizontal="center" vertical="center" shrinkToFit="1"/>
    </xf>
    <xf numFmtId="0" fontId="25" fillId="0" borderId="33" xfId="0" applyFont="1" applyFill="1" applyBorder="1" applyAlignment="1">
      <alignment horizontal="center" vertical="center"/>
    </xf>
    <xf numFmtId="188" fontId="75" fillId="0" borderId="0" xfId="0" applyNumberFormat="1" applyFont="1" applyFill="1" applyBorder="1" applyAlignment="1" applyProtection="1">
      <alignment horizontal="center" vertical="center" shrinkToFit="1"/>
    </xf>
    <xf numFmtId="187" fontId="75" fillId="0" borderId="0" xfId="0" applyNumberFormat="1" applyFont="1" applyFill="1" applyBorder="1" applyAlignment="1" applyProtection="1">
      <alignment horizontal="center" vertical="center" shrinkToFit="1"/>
    </xf>
    <xf numFmtId="0" fontId="15" fillId="3" borderId="0" xfId="0" applyFont="1" applyFill="1" applyBorder="1" applyAlignment="1" applyProtection="1">
      <alignment vertical="top"/>
    </xf>
    <xf numFmtId="176" fontId="25" fillId="0" borderId="6" xfId="0" applyNumberFormat="1" applyFont="1" applyFill="1" applyBorder="1" applyAlignment="1" applyProtection="1">
      <alignment horizontal="right" shrinkToFit="1"/>
    </xf>
    <xf numFmtId="0" fontId="24" fillId="5" borderId="54" xfId="0" applyFont="1" applyFill="1" applyBorder="1" applyAlignment="1" applyProtection="1">
      <alignment horizontal="center" vertical="center"/>
    </xf>
    <xf numFmtId="0" fontId="24" fillId="5" borderId="51" xfId="0" applyFont="1" applyFill="1" applyBorder="1" applyAlignment="1" applyProtection="1">
      <alignment horizontal="center" vertical="center"/>
    </xf>
    <xf numFmtId="186" fontId="57" fillId="0" borderId="54" xfId="0" applyNumberFormat="1" applyFont="1" applyFill="1" applyBorder="1" applyAlignment="1" applyProtection="1">
      <alignment horizontal="left" vertical="center" shrinkToFit="1"/>
    </xf>
    <xf numFmtId="186" fontId="57" fillId="0" borderId="51" xfId="0" applyNumberFormat="1" applyFont="1" applyFill="1" applyBorder="1" applyAlignment="1" applyProtection="1">
      <alignment horizontal="left" vertical="center" shrinkToFit="1"/>
    </xf>
    <xf numFmtId="0" fontId="14" fillId="0" borderId="58" xfId="0" applyFont="1" applyBorder="1" applyAlignment="1" applyProtection="1">
      <alignment horizontal="center" vertical="center"/>
    </xf>
    <xf numFmtId="0" fontId="14" fillId="0" borderId="10" xfId="0" applyFont="1" applyBorder="1" applyAlignment="1" applyProtection="1">
      <alignment horizontal="center" vertical="center"/>
    </xf>
    <xf numFmtId="0" fontId="12" fillId="0" borderId="54" xfId="0" applyFont="1" applyBorder="1" applyAlignment="1" applyProtection="1">
      <alignment horizontal="center" vertical="center"/>
    </xf>
    <xf numFmtId="0" fontId="12" fillId="0" borderId="50" xfId="0" applyFont="1" applyBorder="1" applyAlignment="1" applyProtection="1">
      <alignment horizontal="center" vertical="center"/>
    </xf>
    <xf numFmtId="0" fontId="12" fillId="0" borderId="55" xfId="0" applyFont="1" applyBorder="1" applyAlignment="1" applyProtection="1">
      <alignment horizontal="center" vertical="center"/>
    </xf>
    <xf numFmtId="0" fontId="12" fillId="0" borderId="46" xfId="0" applyFont="1" applyBorder="1" applyAlignment="1" applyProtection="1">
      <alignment horizontal="center" vertical="center"/>
    </xf>
    <xf numFmtId="0" fontId="12" fillId="0" borderId="44" xfId="0" applyFont="1" applyBorder="1" applyAlignment="1" applyProtection="1">
      <alignment horizontal="center" vertical="center"/>
    </xf>
    <xf numFmtId="0" fontId="20" fillId="0" borderId="44" xfId="0" applyFont="1" applyBorder="1" applyAlignment="1" applyProtection="1">
      <alignment horizontal="left" vertical="center" wrapText="1"/>
    </xf>
    <xf numFmtId="0" fontId="20" fillId="0" borderId="11" xfId="0" applyFont="1" applyBorder="1" applyAlignment="1" applyProtection="1">
      <alignment horizontal="left" vertical="center" wrapText="1"/>
    </xf>
    <xf numFmtId="176" fontId="16" fillId="0" borderId="44" xfId="2" applyNumberFormat="1" applyFont="1" applyBorder="1" applyAlignment="1" applyProtection="1">
      <alignment vertical="center"/>
    </xf>
    <xf numFmtId="0" fontId="29" fillId="0" borderId="27" xfId="0" applyFont="1" applyFill="1" applyBorder="1" applyAlignment="1" applyProtection="1">
      <alignment horizontal="right" vertical="center" shrinkToFit="1"/>
    </xf>
    <xf numFmtId="0" fontId="22" fillId="0" borderId="19" xfId="0" applyNumberFormat="1" applyFont="1" applyFill="1" applyBorder="1" applyAlignment="1" applyProtection="1">
      <alignment horizontal="center" vertical="center" shrinkToFit="1"/>
    </xf>
    <xf numFmtId="0" fontId="22" fillId="0" borderId="20" xfId="0" applyNumberFormat="1" applyFont="1" applyFill="1" applyBorder="1" applyAlignment="1" applyProtection="1">
      <alignment horizontal="center" vertical="center" shrinkToFit="1"/>
    </xf>
    <xf numFmtId="0" fontId="22" fillId="0" borderId="33" xfId="0" applyNumberFormat="1" applyFont="1" applyFill="1" applyBorder="1" applyAlignment="1" applyProtection="1">
      <alignment horizontal="center" vertical="center" shrinkToFit="1"/>
    </xf>
    <xf numFmtId="0" fontId="22" fillId="0" borderId="0" xfId="0" applyNumberFormat="1" applyFont="1" applyFill="1" applyBorder="1" applyAlignment="1" applyProtection="1">
      <alignment horizontal="center" vertical="center" shrinkToFit="1"/>
    </xf>
    <xf numFmtId="0" fontId="23" fillId="0" borderId="27" xfId="0" applyFont="1" applyFill="1" applyBorder="1" applyAlignment="1" applyProtection="1">
      <alignment horizontal="center" vertical="center" shrinkToFit="1"/>
    </xf>
    <xf numFmtId="0" fontId="12" fillId="0" borderId="34" xfId="0" applyFont="1" applyBorder="1" applyAlignment="1" applyProtection="1">
      <alignment horizontal="center" vertical="center"/>
    </xf>
    <xf numFmtId="0" fontId="12" fillId="0" borderId="23" xfId="0" applyFont="1" applyBorder="1" applyAlignment="1" applyProtection="1">
      <alignment horizontal="center" vertical="center"/>
    </xf>
    <xf numFmtId="0" fontId="20" fillId="0" borderId="43" xfId="0" applyFont="1" applyBorder="1" applyAlignment="1" applyProtection="1">
      <alignment horizontal="left" vertical="center" wrapText="1"/>
    </xf>
    <xf numFmtId="0" fontId="20" fillId="0" borderId="50" xfId="0" applyFont="1" applyBorder="1" applyAlignment="1" applyProtection="1">
      <alignment horizontal="left" vertical="center" wrapText="1"/>
    </xf>
    <xf numFmtId="0" fontId="20" fillId="0" borderId="51" xfId="0" applyFont="1" applyBorder="1" applyAlignment="1" applyProtection="1">
      <alignment horizontal="left" vertical="center" wrapText="1"/>
    </xf>
    <xf numFmtId="0" fontId="12" fillId="0" borderId="46" xfId="0" applyFont="1" applyBorder="1" applyAlignment="1" applyProtection="1">
      <alignment horizontal="center" vertical="center" wrapText="1"/>
    </xf>
    <xf numFmtId="0" fontId="12" fillId="0" borderId="29" xfId="0" applyFont="1" applyBorder="1" applyAlignment="1" applyProtection="1">
      <alignment horizontal="center" vertical="center"/>
    </xf>
    <xf numFmtId="0" fontId="12" fillId="0" borderId="42" xfId="0" applyFont="1" applyBorder="1" applyAlignment="1" applyProtection="1">
      <alignment horizontal="center" vertical="center"/>
    </xf>
    <xf numFmtId="176" fontId="16" fillId="0" borderId="42" xfId="2" applyNumberFormat="1" applyFont="1" applyBorder="1" applyAlignment="1" applyProtection="1">
      <alignment vertical="center"/>
    </xf>
    <xf numFmtId="0" fontId="20" fillId="0" borderId="42" xfId="0" applyFont="1" applyBorder="1" applyAlignment="1" applyProtection="1">
      <alignment horizontal="left" vertical="center" wrapText="1"/>
    </xf>
    <xf numFmtId="0" fontId="20" fillId="0" borderId="3" xfId="0" applyFont="1" applyBorder="1" applyAlignment="1" applyProtection="1">
      <alignment horizontal="left" vertical="center" wrapText="1"/>
    </xf>
    <xf numFmtId="176" fontId="16" fillId="0" borderId="43" xfId="2" quotePrefix="1" applyNumberFormat="1" applyFont="1" applyFill="1" applyBorder="1" applyAlignment="1" applyProtection="1">
      <alignment vertical="center"/>
    </xf>
    <xf numFmtId="176" fontId="16" fillId="0" borderId="55" xfId="2" applyNumberFormat="1" applyFont="1" applyFill="1" applyBorder="1" applyAlignment="1" applyProtection="1">
      <alignment vertical="center"/>
    </xf>
    <xf numFmtId="0" fontId="19" fillId="4" borderId="52" xfId="0" applyFont="1" applyFill="1" applyBorder="1" applyAlignment="1" applyProtection="1">
      <alignment horizontal="left" vertical="center" indent="1" shrinkToFit="1"/>
      <protection locked="0"/>
    </xf>
    <xf numFmtId="0" fontId="19" fillId="4" borderId="28" xfId="0" applyFont="1" applyFill="1" applyBorder="1" applyAlignment="1" applyProtection="1">
      <alignment horizontal="left" vertical="center" indent="1" shrinkToFit="1"/>
      <protection locked="0"/>
    </xf>
    <xf numFmtId="0" fontId="19" fillId="4" borderId="53" xfId="0" applyFont="1" applyFill="1" applyBorder="1" applyAlignment="1" applyProtection="1">
      <alignment horizontal="left" vertical="center" indent="1" shrinkToFit="1"/>
      <protection locked="0"/>
    </xf>
    <xf numFmtId="0" fontId="18" fillId="4" borderId="58" xfId="0" applyFont="1" applyFill="1" applyBorder="1" applyAlignment="1" applyProtection="1">
      <alignment horizontal="left" indent="1" shrinkToFit="1"/>
      <protection locked="0" hidden="1"/>
    </xf>
    <xf numFmtId="0" fontId="18" fillId="4" borderId="9" xfId="0" applyFont="1" applyFill="1" applyBorder="1" applyAlignment="1" applyProtection="1">
      <alignment horizontal="left" indent="1" shrinkToFit="1"/>
      <protection locked="0" hidden="1"/>
    </xf>
    <xf numFmtId="0" fontId="18" fillId="4" borderId="10" xfId="0" applyFont="1" applyFill="1" applyBorder="1" applyAlignment="1" applyProtection="1">
      <alignment horizontal="left" indent="1" shrinkToFit="1"/>
      <protection locked="0" hidden="1"/>
    </xf>
    <xf numFmtId="0" fontId="41" fillId="0" borderId="0" xfId="0" applyFont="1" applyFill="1" applyBorder="1" applyAlignment="1" applyProtection="1">
      <alignment horizontal="center" vertical="center"/>
    </xf>
    <xf numFmtId="187" fontId="13" fillId="3" borderId="0" xfId="0" applyNumberFormat="1" applyFont="1" applyFill="1" applyBorder="1" applyAlignment="1" applyProtection="1">
      <alignment horizontal="left" vertical="center" shrinkToFit="1"/>
    </xf>
    <xf numFmtId="0" fontId="12" fillId="0" borderId="4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56"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43" xfId="0" applyFont="1" applyBorder="1" applyAlignment="1" applyProtection="1">
      <alignment horizontal="center" vertical="center"/>
    </xf>
    <xf numFmtId="0" fontId="20" fillId="0" borderId="6" xfId="0" applyFont="1" applyBorder="1" applyAlignment="1" applyProtection="1">
      <alignment horizontal="left" vertical="center" wrapText="1"/>
    </xf>
    <xf numFmtId="0" fontId="20" fillId="0" borderId="47" xfId="0" applyFont="1" applyBorder="1" applyAlignment="1" applyProtection="1">
      <alignment horizontal="left" vertical="center" wrapText="1"/>
    </xf>
    <xf numFmtId="0" fontId="16" fillId="4" borderId="15" xfId="0" applyFont="1" applyFill="1" applyBorder="1" applyAlignment="1" applyProtection="1">
      <alignment horizontal="left" vertical="center" indent="1" shrinkToFit="1"/>
      <protection locked="0"/>
    </xf>
    <xf numFmtId="0" fontId="16" fillId="4" borderId="16" xfId="0" applyFont="1" applyFill="1" applyBorder="1" applyAlignment="1" applyProtection="1">
      <alignment horizontal="left" vertical="center" indent="1" shrinkToFit="1"/>
      <protection locked="0"/>
    </xf>
    <xf numFmtId="0" fontId="16" fillId="4" borderId="17" xfId="0" applyFont="1" applyFill="1" applyBorder="1" applyAlignment="1" applyProtection="1">
      <alignment horizontal="left" vertical="center" indent="1" shrinkToFit="1"/>
      <protection locked="0"/>
    </xf>
    <xf numFmtId="0" fontId="19" fillId="4" borderId="7" xfId="0" applyFont="1" applyFill="1" applyBorder="1" applyAlignment="1" applyProtection="1">
      <alignment horizontal="left" vertical="center" shrinkToFit="1"/>
      <protection locked="0"/>
    </xf>
    <xf numFmtId="176" fontId="16" fillId="0" borderId="19" xfId="2" applyNumberFormat="1" applyFont="1" applyBorder="1" applyAlignment="1" applyProtection="1">
      <alignment vertical="center"/>
    </xf>
    <xf numFmtId="176" fontId="16" fillId="0" borderId="20" xfId="2" applyNumberFormat="1" applyFont="1" applyBorder="1" applyAlignment="1" applyProtection="1">
      <alignment vertical="center"/>
    </xf>
    <xf numFmtId="0" fontId="16" fillId="4" borderId="12" xfId="0" applyFont="1" applyFill="1" applyBorder="1" applyAlignment="1" applyProtection="1">
      <alignment horizontal="left" vertical="center" indent="1"/>
      <protection locked="0"/>
    </xf>
    <xf numFmtId="0" fontId="16" fillId="4" borderId="25" xfId="0" applyFont="1" applyFill="1" applyBorder="1" applyAlignment="1" applyProtection="1">
      <alignment horizontal="left" vertical="center" indent="1"/>
      <protection locked="0"/>
    </xf>
    <xf numFmtId="0" fontId="16" fillId="4" borderId="26" xfId="0" applyFont="1" applyFill="1" applyBorder="1" applyAlignment="1" applyProtection="1">
      <alignment horizontal="left" vertical="center" indent="1"/>
      <protection locked="0"/>
    </xf>
    <xf numFmtId="0" fontId="12" fillId="0" borderId="48"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49" xfId="0" applyFont="1" applyBorder="1" applyAlignment="1" applyProtection="1">
      <alignment horizontal="center" vertical="center"/>
    </xf>
    <xf numFmtId="0" fontId="12" fillId="0" borderId="51"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1" xfId="0" applyFont="1" applyBorder="1" applyAlignment="1" applyProtection="1">
      <alignment horizontal="center" vertical="center"/>
    </xf>
    <xf numFmtId="0" fontId="12" fillId="0" borderId="20" xfId="0" applyFont="1" applyBorder="1" applyAlignment="1" applyProtection="1">
      <alignment horizontal="center" vertical="center"/>
    </xf>
    <xf numFmtId="0" fontId="12" fillId="0" borderId="19" xfId="0" applyFont="1" applyBorder="1" applyAlignment="1" applyProtection="1">
      <alignment horizontal="center" vertical="center" wrapText="1"/>
    </xf>
    <xf numFmtId="0" fontId="12" fillId="0" borderId="31" xfId="0" applyFont="1" applyBorder="1" applyAlignment="1" applyProtection="1">
      <alignment horizontal="center" vertical="center"/>
    </xf>
    <xf numFmtId="0" fontId="12" fillId="0" borderId="32" xfId="0" applyFont="1" applyBorder="1" applyAlignment="1" applyProtection="1">
      <alignment horizontal="center" vertical="center"/>
    </xf>
    <xf numFmtId="49" fontId="16" fillId="4" borderId="30" xfId="0" applyNumberFormat="1" applyFont="1" applyFill="1" applyBorder="1" applyAlignment="1" applyProtection="1">
      <alignment horizontal="center" vertical="center"/>
      <protection locked="0"/>
    </xf>
    <xf numFmtId="49" fontId="16" fillId="4" borderId="34" xfId="0" applyNumberFormat="1" applyFont="1" applyFill="1" applyBorder="1" applyAlignment="1" applyProtection="1">
      <alignment horizontal="center" vertical="center"/>
      <protection locked="0"/>
    </xf>
    <xf numFmtId="0" fontId="12" fillId="0" borderId="52" xfId="0" applyFont="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53" xfId="0" applyFont="1" applyBorder="1" applyAlignment="1" applyProtection="1">
      <alignment horizontal="center" vertical="center"/>
    </xf>
    <xf numFmtId="0" fontId="14" fillId="0" borderId="57"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8" xfId="0" applyFont="1" applyBorder="1" applyAlignment="1" applyProtection="1">
      <alignment horizontal="center" vertical="center"/>
    </xf>
    <xf numFmtId="49" fontId="16" fillId="4" borderId="19" xfId="0" applyNumberFormat="1" applyFont="1" applyFill="1" applyBorder="1" applyAlignment="1" applyProtection="1">
      <alignment horizontal="center" vertical="center"/>
      <protection locked="0"/>
    </xf>
    <xf numFmtId="49" fontId="16" fillId="4" borderId="21" xfId="0" applyNumberFormat="1" applyFont="1" applyFill="1" applyBorder="1" applyAlignment="1" applyProtection="1">
      <alignment horizontal="center" vertical="center"/>
      <protection locked="0"/>
    </xf>
    <xf numFmtId="49" fontId="16" fillId="4" borderId="20" xfId="0" applyNumberFormat="1" applyFont="1" applyFill="1" applyBorder="1" applyAlignment="1" applyProtection="1">
      <alignment horizontal="center" vertical="center"/>
      <protection locked="0"/>
    </xf>
    <xf numFmtId="0" fontId="68" fillId="0" borderId="95" xfId="0" applyFont="1" applyFill="1" applyBorder="1" applyAlignment="1" applyProtection="1">
      <alignment horizontal="left" vertical="center" wrapText="1" shrinkToFit="1"/>
    </xf>
    <xf numFmtId="0" fontId="0" fillId="0" borderId="96" xfId="0" applyFont="1" applyBorder="1" applyAlignment="1">
      <alignment horizontal="left" wrapText="1" shrinkToFit="1"/>
    </xf>
    <xf numFmtId="0" fontId="0" fillId="0" borderId="97" xfId="0" applyFont="1" applyBorder="1" applyAlignment="1">
      <alignment horizontal="left" wrapText="1" shrinkToFit="1"/>
    </xf>
    <xf numFmtId="0" fontId="50" fillId="0" borderId="0" xfId="0" applyFont="1" applyFill="1" applyBorder="1" applyAlignment="1" applyProtection="1">
      <alignment horizontal="center" vertical="center" wrapText="1"/>
    </xf>
    <xf numFmtId="0" fontId="20" fillId="4" borderId="7" xfId="0" applyFont="1" applyFill="1" applyBorder="1" applyAlignment="1" applyProtection="1">
      <alignment horizontal="left" vertical="center" wrapText="1"/>
      <protection locked="0"/>
    </xf>
    <xf numFmtId="0" fontId="20" fillId="4" borderId="1" xfId="0" applyFont="1" applyFill="1" applyBorder="1" applyAlignment="1" applyProtection="1">
      <alignment horizontal="left" vertical="center" wrapText="1"/>
      <protection locked="0"/>
    </xf>
    <xf numFmtId="182" fontId="21" fillId="4" borderId="27" xfId="0" applyNumberFormat="1" applyFont="1" applyFill="1" applyBorder="1" applyAlignment="1" applyProtection="1">
      <alignment horizontal="center"/>
      <protection locked="0"/>
    </xf>
    <xf numFmtId="0" fontId="71" fillId="3" borderId="0" xfId="0" applyFont="1" applyFill="1" applyBorder="1" applyAlignment="1" applyProtection="1">
      <alignment horizontal="center" shrinkToFit="1"/>
    </xf>
    <xf numFmtId="0" fontId="12" fillId="0" borderId="4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29" fillId="0" borderId="0" xfId="0" applyFont="1" applyFill="1" applyBorder="1" applyAlignment="1" applyProtection="1">
      <alignment horizontal="right" vertical="center" shrinkToFit="1"/>
    </xf>
    <xf numFmtId="0" fontId="55" fillId="0" borderId="0" xfId="0" applyFont="1" applyFill="1" applyBorder="1" applyAlignment="1" applyProtection="1">
      <alignment horizontal="right" vertical="center" shrinkToFit="1"/>
    </xf>
    <xf numFmtId="0" fontId="12" fillId="3" borderId="0" xfId="0" applyFont="1" applyFill="1" applyBorder="1" applyAlignment="1" applyProtection="1">
      <alignment horizontal="left" vertical="center" wrapText="1"/>
    </xf>
    <xf numFmtId="0" fontId="7" fillId="3" borderId="0" xfId="0" applyFont="1" applyFill="1" applyAlignment="1">
      <alignment horizontal="center" shrinkToFit="1"/>
    </xf>
    <xf numFmtId="0" fontId="3" fillId="3" borderId="31" xfId="0" applyFont="1" applyFill="1" applyBorder="1" applyAlignment="1">
      <alignment horizontal="left" vertical="center" shrinkToFit="1"/>
    </xf>
    <xf numFmtId="0" fontId="3" fillId="3" borderId="33" xfId="0" applyFont="1" applyFill="1" applyBorder="1" applyAlignment="1">
      <alignment horizontal="left" vertical="center" shrinkToFit="1"/>
    </xf>
    <xf numFmtId="0" fontId="3" fillId="3" borderId="59" xfId="0" applyFont="1" applyFill="1" applyBorder="1" applyAlignment="1">
      <alignment horizontal="left" vertical="center" shrinkToFit="1"/>
    </xf>
    <xf numFmtId="0" fontId="40" fillId="3" borderId="30" xfId="0" applyFont="1" applyFill="1" applyBorder="1" applyAlignment="1">
      <alignment vertical="center" wrapText="1"/>
    </xf>
    <xf numFmtId="0" fontId="40" fillId="3" borderId="0" xfId="0" applyFont="1" applyFill="1" applyBorder="1" applyAlignment="1">
      <alignment vertical="center" wrapText="1"/>
    </xf>
    <xf numFmtId="0" fontId="40" fillId="3" borderId="39" xfId="0" applyFont="1" applyFill="1" applyBorder="1" applyAlignment="1">
      <alignment vertical="center" wrapText="1"/>
    </xf>
    <xf numFmtId="0" fontId="3" fillId="3" borderId="31" xfId="0" applyFont="1" applyFill="1" applyBorder="1" applyAlignment="1">
      <alignment horizontal="left" shrinkToFit="1"/>
    </xf>
    <xf numFmtId="0" fontId="3" fillId="3" borderId="33" xfId="0" applyFont="1" applyFill="1" applyBorder="1" applyAlignment="1">
      <alignment horizontal="left" shrinkToFit="1"/>
    </xf>
    <xf numFmtId="0" fontId="35" fillId="3" borderId="33" xfId="0" applyFont="1" applyFill="1" applyBorder="1" applyAlignment="1">
      <alignment horizontal="left" shrinkToFit="1"/>
    </xf>
    <xf numFmtId="0" fontId="35" fillId="3" borderId="32" xfId="0" applyFont="1" applyFill="1" applyBorder="1" applyAlignment="1">
      <alignment horizontal="left" shrinkToFit="1"/>
    </xf>
    <xf numFmtId="0" fontId="59" fillId="0" borderId="12" xfId="0" applyFont="1" applyFill="1" applyBorder="1" applyAlignment="1">
      <alignment horizontal="left" shrinkToFit="1"/>
    </xf>
    <xf numFmtId="0" fontId="59" fillId="0" borderId="25" xfId="0" applyFont="1" applyFill="1" applyBorder="1" applyAlignment="1">
      <alignment horizontal="left" shrinkToFit="1"/>
    </xf>
    <xf numFmtId="0" fontId="59" fillId="0" borderId="26" xfId="0" applyFont="1" applyFill="1" applyBorder="1" applyAlignment="1">
      <alignment horizontal="left" shrinkToFit="1"/>
    </xf>
    <xf numFmtId="0" fontId="17" fillId="3" borderId="33" xfId="0" applyFont="1" applyFill="1" applyBorder="1" applyAlignment="1">
      <alignment horizontal="center" vertical="center" shrinkToFit="1"/>
    </xf>
    <xf numFmtId="0" fontId="3" fillId="3" borderId="59" xfId="0" applyFont="1" applyFill="1" applyBorder="1" applyAlignment="1">
      <alignment horizontal="center" vertical="center" shrinkToFit="1"/>
    </xf>
    <xf numFmtId="0" fontId="3" fillId="3" borderId="31" xfId="0" applyFont="1" applyFill="1" applyBorder="1" applyAlignment="1">
      <alignment vertical="center" shrinkToFit="1"/>
    </xf>
    <xf numFmtId="0" fontId="3" fillId="3" borderId="33" xfId="0" applyFont="1" applyFill="1" applyBorder="1" applyAlignment="1">
      <alignment vertical="center" shrinkToFit="1"/>
    </xf>
    <xf numFmtId="176" fontId="7" fillId="4" borderId="34" xfId="2" quotePrefix="1" applyNumberFormat="1" applyFont="1" applyFill="1" applyBorder="1" applyAlignment="1" applyProtection="1">
      <alignment vertical="center"/>
      <protection locked="0"/>
    </xf>
    <xf numFmtId="176" fontId="7" fillId="4" borderId="23" xfId="2" quotePrefix="1" applyNumberFormat="1" applyFont="1" applyFill="1" applyBorder="1" applyAlignment="1" applyProtection="1">
      <alignment vertical="center"/>
      <protection locked="0"/>
    </xf>
    <xf numFmtId="176" fontId="7" fillId="4" borderId="31" xfId="2" applyNumberFormat="1" applyFont="1" applyFill="1" applyBorder="1" applyAlignment="1" applyProtection="1">
      <alignment horizontal="right" vertical="center"/>
      <protection locked="0"/>
    </xf>
    <xf numFmtId="176" fontId="7" fillId="4" borderId="33" xfId="2" applyNumberFormat="1" applyFont="1" applyFill="1" applyBorder="1" applyAlignment="1" applyProtection="1">
      <alignment horizontal="right" vertical="center"/>
      <protection locked="0"/>
    </xf>
    <xf numFmtId="176" fontId="7" fillId="4" borderId="34" xfId="2" applyNumberFormat="1" applyFont="1" applyFill="1" applyBorder="1" applyAlignment="1" applyProtection="1">
      <alignment horizontal="right" vertical="center"/>
      <protection locked="0"/>
    </xf>
    <xf numFmtId="176" fontId="7" fillId="4" borderId="27" xfId="2" applyNumberFormat="1" applyFont="1" applyFill="1" applyBorder="1" applyAlignment="1" applyProtection="1">
      <alignment horizontal="right" vertical="center"/>
      <protection locked="0"/>
    </xf>
    <xf numFmtId="0" fontId="72" fillId="3" borderId="34" xfId="0" applyFont="1" applyFill="1" applyBorder="1" applyAlignment="1">
      <alignment horizontal="left" shrinkToFit="1"/>
    </xf>
    <xf numFmtId="0" fontId="72" fillId="3" borderId="27" xfId="0" applyFont="1" applyFill="1" applyBorder="1" applyAlignment="1">
      <alignment horizontal="left" shrinkToFit="1"/>
    </xf>
    <xf numFmtId="0" fontId="72" fillId="3" borderId="23" xfId="0" applyFont="1" applyFill="1" applyBorder="1" applyAlignment="1">
      <alignment horizontal="left" shrinkToFit="1"/>
    </xf>
    <xf numFmtId="0" fontId="4" fillId="3" borderId="31" xfId="0" applyFont="1" applyFill="1" applyBorder="1" applyAlignment="1">
      <alignment horizontal="left" vertical="top"/>
    </xf>
    <xf numFmtId="0" fontId="4" fillId="3" borderId="32" xfId="0" applyFont="1" applyFill="1" applyBorder="1" applyAlignment="1">
      <alignment horizontal="left" vertical="top"/>
    </xf>
    <xf numFmtId="0" fontId="4" fillId="3" borderId="34" xfId="0" applyFont="1" applyFill="1" applyBorder="1" applyAlignment="1">
      <alignment horizontal="left" vertical="top"/>
    </xf>
    <xf numFmtId="0" fontId="4" fillId="3" borderId="23" xfId="0" applyFont="1" applyFill="1" applyBorder="1" applyAlignment="1">
      <alignment horizontal="left" vertical="top"/>
    </xf>
    <xf numFmtId="190" fontId="9" fillId="3" borderId="18" xfId="0" applyNumberFormat="1" applyFont="1" applyFill="1" applyBorder="1" applyAlignment="1">
      <alignment horizontal="center" vertical="top"/>
    </xf>
    <xf numFmtId="0" fontId="4" fillId="3" borderId="12" xfId="0" applyFont="1" applyFill="1" applyBorder="1" applyAlignment="1">
      <alignment horizontal="center"/>
    </xf>
    <xf numFmtId="0" fontId="4" fillId="3" borderId="60" xfId="0" applyFont="1" applyFill="1" applyBorder="1" applyAlignment="1">
      <alignment horizontal="center"/>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23" xfId="0" applyFont="1" applyFill="1" applyBorder="1" applyAlignment="1">
      <alignment horizontal="center" vertical="center"/>
    </xf>
    <xf numFmtId="176" fontId="8" fillId="3" borderId="31" xfId="2" applyNumberFormat="1" applyFont="1" applyFill="1" applyBorder="1" applyAlignment="1">
      <alignment vertical="center"/>
    </xf>
    <xf numFmtId="176" fontId="8" fillId="3" borderId="32" xfId="2" applyNumberFormat="1" applyFont="1" applyFill="1" applyBorder="1" applyAlignment="1">
      <alignment vertical="center"/>
    </xf>
    <xf numFmtId="176" fontId="8" fillId="3" borderId="34" xfId="2" applyNumberFormat="1" applyFont="1" applyFill="1" applyBorder="1" applyAlignment="1">
      <alignment vertical="center"/>
    </xf>
    <xf numFmtId="176" fontId="8" fillId="3" borderId="23" xfId="2" applyNumberFormat="1" applyFont="1" applyFill="1" applyBorder="1" applyAlignment="1">
      <alignment vertical="center"/>
    </xf>
    <xf numFmtId="176" fontId="8" fillId="3" borderId="12" xfId="2" quotePrefix="1" applyNumberFormat="1" applyFont="1" applyFill="1" applyBorder="1" applyAlignment="1">
      <alignment vertical="center"/>
    </xf>
    <xf numFmtId="176" fontId="8" fillId="3" borderId="60" xfId="2" applyNumberFormat="1" applyFont="1" applyFill="1" applyBorder="1" applyAlignment="1">
      <alignment vertical="center"/>
    </xf>
    <xf numFmtId="176" fontId="7" fillId="4" borderId="32" xfId="2" applyNumberFormat="1" applyFont="1" applyFill="1" applyBorder="1" applyAlignment="1" applyProtection="1">
      <alignment horizontal="right" vertical="center"/>
      <protection locked="0"/>
    </xf>
    <xf numFmtId="176" fontId="7" fillId="4" borderId="23" xfId="2" applyNumberFormat="1" applyFont="1" applyFill="1" applyBorder="1" applyAlignment="1" applyProtection="1">
      <alignment horizontal="right" vertical="center"/>
      <protection locked="0"/>
    </xf>
    <xf numFmtId="0" fontId="9" fillId="3" borderId="0" xfId="0" applyFont="1" applyFill="1" applyBorder="1" applyAlignment="1">
      <alignment horizontal="left" indent="1" shrinkToFit="1"/>
    </xf>
    <xf numFmtId="38" fontId="3" fillId="3" borderId="43" xfId="2" applyFont="1" applyFill="1" applyBorder="1" applyAlignment="1">
      <alignment horizontal="center" vertical="center"/>
    </xf>
    <xf numFmtId="38" fontId="3" fillId="3" borderId="55" xfId="2" applyFont="1" applyFill="1" applyBorder="1" applyAlignment="1">
      <alignment horizontal="center" vertical="center"/>
    </xf>
    <xf numFmtId="177" fontId="9" fillId="3" borderId="0" xfId="0" applyNumberFormat="1" applyFont="1" applyFill="1" applyAlignment="1">
      <alignment horizontal="left" indent="1"/>
    </xf>
    <xf numFmtId="177" fontId="9" fillId="3" borderId="0" xfId="0" applyNumberFormat="1" applyFont="1" applyFill="1" applyAlignment="1">
      <alignment horizontal="center"/>
    </xf>
    <xf numFmtId="176" fontId="8" fillId="3" borderId="12" xfId="2" applyNumberFormat="1" applyFont="1" applyFill="1" applyBorder="1" applyAlignment="1">
      <alignment vertical="center"/>
    </xf>
    <xf numFmtId="0" fontId="4" fillId="3" borderId="61"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62" xfId="0" applyFont="1" applyFill="1" applyBorder="1" applyAlignment="1">
      <alignment horizontal="center" vertical="center"/>
    </xf>
    <xf numFmtId="176" fontId="8" fillId="3" borderId="19" xfId="2" quotePrefix="1" applyNumberFormat="1" applyFont="1" applyFill="1" applyBorder="1" applyAlignment="1">
      <alignment vertical="center"/>
    </xf>
    <xf numFmtId="176" fontId="8" fillId="3" borderId="20" xfId="2" applyNumberFormat="1" applyFont="1" applyFill="1" applyBorder="1" applyAlignment="1">
      <alignment vertical="center"/>
    </xf>
    <xf numFmtId="0" fontId="3" fillId="3" borderId="30" xfId="0" applyFont="1" applyFill="1" applyBorder="1" applyAlignment="1">
      <alignment horizontal="left" shrinkToFit="1"/>
    </xf>
    <xf numFmtId="0" fontId="3" fillId="3" borderId="0" xfId="0" applyFont="1" applyFill="1" applyBorder="1" applyAlignment="1">
      <alignment horizontal="left" shrinkToFit="1"/>
    </xf>
    <xf numFmtId="176" fontId="7" fillId="3" borderId="19" xfId="2" applyNumberFormat="1" applyFont="1" applyFill="1" applyBorder="1" applyAlignment="1">
      <alignment horizontal="right" vertical="center"/>
    </xf>
    <xf numFmtId="176" fontId="7" fillId="3" borderId="20" xfId="2" applyNumberFormat="1" applyFont="1" applyFill="1" applyBorder="1" applyAlignment="1">
      <alignment horizontal="right" vertical="center"/>
    </xf>
    <xf numFmtId="176" fontId="7" fillId="3" borderId="15"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25" fillId="0" borderId="0" xfId="0" applyFont="1" applyFill="1" applyBorder="1" applyAlignment="1" applyProtection="1">
      <alignment horizontal="center" wrapText="1" shrinkToFit="1"/>
    </xf>
    <xf numFmtId="0" fontId="25" fillId="0" borderId="0" xfId="0" applyFont="1" applyFill="1" applyBorder="1" applyAlignment="1" applyProtection="1">
      <alignment horizontal="center" shrinkToFit="1"/>
    </xf>
    <xf numFmtId="0" fontId="76" fillId="0" borderId="0" xfId="0" applyFont="1" applyFill="1" applyBorder="1" applyAlignment="1" applyProtection="1">
      <alignment horizontal="right" vertical="center" shrinkToFit="1"/>
    </xf>
    <xf numFmtId="0" fontId="25" fillId="0" borderId="6" xfId="0" applyFont="1" applyFill="1" applyBorder="1" applyAlignment="1" applyProtection="1">
      <alignment horizontal="center" wrapText="1" shrinkToFit="1"/>
    </xf>
    <xf numFmtId="0" fontId="25" fillId="0" borderId="6" xfId="0" applyFont="1" applyFill="1" applyBorder="1" applyAlignment="1" applyProtection="1">
      <alignment horizontal="center" shrinkToFit="1"/>
    </xf>
    <xf numFmtId="0" fontId="76" fillId="0" borderId="6" xfId="0" applyFont="1" applyFill="1" applyBorder="1" applyAlignment="1" applyProtection="1">
      <alignment horizontal="right" vertical="center" shrinkToFit="1"/>
    </xf>
    <xf numFmtId="0" fontId="56" fillId="3" borderId="61" xfId="0" applyFont="1" applyFill="1" applyBorder="1" applyAlignment="1">
      <alignment horizontal="left" vertical="center" shrinkToFit="1"/>
    </xf>
    <xf numFmtId="0" fontId="56" fillId="3" borderId="36" xfId="0" applyFont="1" applyFill="1" applyBorder="1" applyAlignment="1">
      <alignment horizontal="left" vertical="center" shrinkToFit="1"/>
    </xf>
    <xf numFmtId="0" fontId="56" fillId="3" borderId="62" xfId="0" applyFont="1" applyFill="1" applyBorder="1" applyAlignment="1">
      <alignment horizontal="left" vertical="center" shrinkToFit="1"/>
    </xf>
    <xf numFmtId="0" fontId="56" fillId="3" borderId="30" xfId="0" applyFont="1" applyFill="1" applyBorder="1" applyAlignment="1">
      <alignment horizontal="left" vertical="center" shrinkToFit="1"/>
    </xf>
    <xf numFmtId="0" fontId="56" fillId="3" borderId="0" xfId="0" applyFont="1" applyFill="1" applyAlignment="1">
      <alignment horizontal="left" vertical="center" shrinkToFit="1"/>
    </xf>
    <xf numFmtId="0" fontId="56" fillId="3" borderId="39" xfId="0" applyFont="1" applyFill="1" applyBorder="1" applyAlignment="1">
      <alignment horizontal="left" vertical="center" shrinkToFit="1"/>
    </xf>
    <xf numFmtId="0" fontId="10" fillId="3" borderId="14" xfId="0" applyFont="1" applyFill="1" applyBorder="1" applyAlignment="1">
      <alignment horizontal="center" vertical="center" textRotation="255"/>
    </xf>
    <xf numFmtId="0" fontId="10" fillId="3" borderId="18" xfId="0" applyFont="1" applyFill="1" applyBorder="1" applyAlignment="1">
      <alignment horizontal="center" vertical="center" textRotation="255"/>
    </xf>
    <xf numFmtId="0" fontId="10" fillId="3" borderId="24" xfId="0" applyFont="1" applyFill="1" applyBorder="1" applyAlignment="1">
      <alignment horizontal="center" vertical="center" textRotation="255"/>
    </xf>
    <xf numFmtId="0" fontId="3" fillId="3" borderId="0" xfId="0" applyNumberFormat="1" applyFont="1" applyFill="1" applyBorder="1" applyAlignment="1">
      <alignment horizontal="left" shrinkToFit="1"/>
    </xf>
    <xf numFmtId="0" fontId="3" fillId="3" borderId="39" xfId="0" applyNumberFormat="1" applyFont="1" applyFill="1" applyBorder="1" applyAlignment="1">
      <alignment horizontal="left" shrinkToFit="1"/>
    </xf>
    <xf numFmtId="0" fontId="4" fillId="3" borderId="19" xfId="0" applyFont="1" applyFill="1" applyBorder="1" applyAlignment="1">
      <alignment horizontal="center"/>
    </xf>
    <xf numFmtId="0" fontId="4" fillId="3" borderId="20" xfId="0" applyFont="1" applyFill="1" applyBorder="1" applyAlignment="1">
      <alignment horizontal="center"/>
    </xf>
    <xf numFmtId="0" fontId="17" fillId="3" borderId="59" xfId="0" applyFont="1" applyFill="1" applyBorder="1" applyAlignment="1">
      <alignment horizontal="center" vertical="center" shrinkToFit="1"/>
    </xf>
    <xf numFmtId="176" fontId="7" fillId="4" borderId="19" xfId="2" quotePrefix="1" applyNumberFormat="1" applyFont="1" applyFill="1" applyBorder="1" applyAlignment="1" applyProtection="1">
      <alignment vertical="center"/>
      <protection locked="0"/>
    </xf>
    <xf numFmtId="176" fontId="7" fillId="4" borderId="20" xfId="2" quotePrefix="1" applyNumberFormat="1" applyFont="1" applyFill="1" applyBorder="1" applyAlignment="1" applyProtection="1">
      <alignment vertical="center"/>
      <protection locked="0"/>
    </xf>
    <xf numFmtId="176" fontId="8" fillId="3" borderId="12" xfId="2" applyNumberFormat="1" applyFont="1" applyFill="1" applyBorder="1" applyAlignment="1" applyProtection="1">
      <alignment vertical="center"/>
    </xf>
    <xf numFmtId="176" fontId="8" fillId="3" borderId="60" xfId="2" applyNumberFormat="1" applyFont="1" applyFill="1" applyBorder="1" applyAlignment="1" applyProtection="1">
      <alignment vertical="center"/>
    </xf>
    <xf numFmtId="176" fontId="8" fillId="3" borderId="31" xfId="2" applyNumberFormat="1" applyFont="1" applyFill="1" applyBorder="1" applyAlignment="1" applyProtection="1">
      <alignment vertical="center"/>
    </xf>
    <xf numFmtId="176" fontId="8" fillId="3" borderId="32" xfId="2" applyNumberFormat="1" applyFont="1" applyFill="1" applyBorder="1" applyAlignment="1" applyProtection="1">
      <alignment vertical="center"/>
    </xf>
    <xf numFmtId="176" fontId="8" fillId="3" borderId="34" xfId="2" applyNumberFormat="1" applyFont="1" applyFill="1" applyBorder="1" applyAlignment="1" applyProtection="1">
      <alignment vertical="center"/>
    </xf>
    <xf numFmtId="176" fontId="8" fillId="3" borderId="23" xfId="2" applyNumberFormat="1" applyFont="1" applyFill="1" applyBorder="1" applyAlignment="1" applyProtection="1">
      <alignment vertical="center"/>
    </xf>
    <xf numFmtId="0" fontId="4" fillId="3" borderId="12" xfId="0" applyFont="1" applyFill="1" applyBorder="1" applyAlignment="1" applyProtection="1">
      <alignment horizontal="center"/>
    </xf>
    <xf numFmtId="0" fontId="4" fillId="3" borderId="60" xfId="0" applyFont="1" applyFill="1" applyBorder="1" applyAlignment="1" applyProtection="1">
      <alignment horizontal="center"/>
    </xf>
    <xf numFmtId="0" fontId="59" fillId="0" borderId="12" xfId="0" applyFont="1" applyFill="1" applyBorder="1" applyAlignment="1" applyProtection="1">
      <alignment horizontal="left" shrinkToFit="1"/>
    </xf>
    <xf numFmtId="0" fontId="59" fillId="0" borderId="25" xfId="0" applyFont="1" applyFill="1" applyBorder="1" applyAlignment="1" applyProtection="1">
      <alignment horizontal="left" shrinkToFit="1"/>
    </xf>
    <xf numFmtId="0" fontId="59" fillId="0" borderId="26" xfId="0" applyFont="1" applyFill="1" applyBorder="1" applyAlignment="1" applyProtection="1">
      <alignment horizontal="left" shrinkToFit="1"/>
    </xf>
    <xf numFmtId="0" fontId="4" fillId="3" borderId="31" xfId="0" applyFont="1" applyFill="1" applyBorder="1" applyAlignment="1" applyProtection="1">
      <alignment horizontal="left" vertical="top"/>
    </xf>
    <xf numFmtId="0" fontId="4" fillId="3" borderId="32" xfId="0" applyFont="1" applyFill="1" applyBorder="1" applyAlignment="1" applyProtection="1">
      <alignment horizontal="left" vertical="top"/>
    </xf>
    <xf numFmtId="0" fontId="4" fillId="3" borderId="34" xfId="0" applyFont="1" applyFill="1" applyBorder="1" applyAlignment="1" applyProtection="1">
      <alignment horizontal="left" vertical="top"/>
    </xf>
    <xf numFmtId="0" fontId="4" fillId="3" borderId="23" xfId="0" applyFont="1" applyFill="1" applyBorder="1" applyAlignment="1" applyProtection="1">
      <alignment horizontal="left" vertical="top"/>
    </xf>
    <xf numFmtId="176" fontId="7" fillId="4" borderId="31" xfId="2" applyNumberFormat="1" applyFont="1" applyFill="1" applyBorder="1" applyAlignment="1" applyProtection="1">
      <alignment horizontal="right" vertical="center"/>
    </xf>
    <xf numFmtId="176" fontId="7" fillId="4" borderId="33" xfId="2" applyNumberFormat="1" applyFont="1" applyFill="1" applyBorder="1" applyAlignment="1" applyProtection="1">
      <alignment horizontal="right" vertical="center"/>
    </xf>
    <xf numFmtId="176" fontId="7" fillId="4" borderId="34" xfId="2" applyNumberFormat="1" applyFont="1" applyFill="1" applyBorder="1" applyAlignment="1" applyProtection="1">
      <alignment horizontal="right" vertical="center"/>
    </xf>
    <xf numFmtId="176" fontId="7" fillId="4" borderId="27" xfId="2" applyNumberFormat="1" applyFont="1" applyFill="1" applyBorder="1" applyAlignment="1" applyProtection="1">
      <alignment horizontal="right" vertical="center"/>
    </xf>
    <xf numFmtId="0" fontId="3" fillId="3" borderId="31" xfId="0" applyFont="1" applyFill="1" applyBorder="1" applyAlignment="1" applyProtection="1">
      <alignment horizontal="left" shrinkToFit="1"/>
    </xf>
    <xf numFmtId="0" fontId="3" fillId="3" borderId="33" xfId="0" applyFont="1" applyFill="1" applyBorder="1" applyAlignment="1" applyProtection="1">
      <alignment horizontal="left" shrinkToFit="1"/>
    </xf>
    <xf numFmtId="0" fontId="35" fillId="3" borderId="33" xfId="0" applyFont="1" applyFill="1" applyBorder="1" applyAlignment="1" applyProtection="1">
      <alignment horizontal="left" shrinkToFit="1"/>
    </xf>
    <xf numFmtId="0" fontId="35" fillId="3" borderId="32" xfId="0" applyFont="1" applyFill="1" applyBorder="1" applyAlignment="1" applyProtection="1">
      <alignment horizontal="left" shrinkToFit="1"/>
    </xf>
    <xf numFmtId="0" fontId="72" fillId="3" borderId="34" xfId="0" applyFont="1" applyFill="1" applyBorder="1" applyAlignment="1" applyProtection="1">
      <alignment horizontal="left" shrinkToFit="1"/>
    </xf>
    <xf numFmtId="0" fontId="72" fillId="3" borderId="27" xfId="0" applyFont="1" applyFill="1" applyBorder="1" applyAlignment="1" applyProtection="1">
      <alignment horizontal="left" shrinkToFit="1"/>
    </xf>
    <xf numFmtId="0" fontId="72" fillId="3" borderId="23" xfId="0" applyFont="1" applyFill="1" applyBorder="1" applyAlignment="1" applyProtection="1">
      <alignment horizontal="left" shrinkToFit="1"/>
    </xf>
    <xf numFmtId="176" fontId="7" fillId="4" borderId="19" xfId="2" quotePrefix="1" applyNumberFormat="1" applyFont="1" applyFill="1" applyBorder="1" applyAlignment="1" applyProtection="1">
      <alignment vertical="center"/>
    </xf>
    <xf numFmtId="176" fontId="7" fillId="4" borderId="20" xfId="2" quotePrefix="1" applyNumberFormat="1" applyFont="1" applyFill="1" applyBorder="1" applyAlignment="1" applyProtection="1">
      <alignment vertical="center"/>
    </xf>
    <xf numFmtId="176" fontId="7" fillId="4" borderId="32" xfId="2" applyNumberFormat="1" applyFont="1" applyFill="1" applyBorder="1" applyAlignment="1" applyProtection="1">
      <alignment horizontal="right" vertical="center"/>
    </xf>
    <xf numFmtId="176" fontId="7" fillId="4" borderId="23" xfId="2" applyNumberFormat="1" applyFont="1" applyFill="1" applyBorder="1" applyAlignment="1" applyProtection="1">
      <alignment horizontal="right" vertical="center"/>
    </xf>
    <xf numFmtId="190" fontId="9" fillId="3" borderId="18" xfId="0" applyNumberFormat="1" applyFont="1" applyFill="1" applyBorder="1" applyAlignment="1" applyProtection="1">
      <alignment horizontal="center" vertical="top"/>
    </xf>
    <xf numFmtId="0" fontId="4" fillId="3" borderId="31" xfId="0" applyFont="1" applyFill="1" applyBorder="1" applyAlignment="1" applyProtection="1">
      <alignment horizontal="center" vertical="center"/>
    </xf>
    <xf numFmtId="0" fontId="4" fillId="3" borderId="32"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0" fontId="4" fillId="3" borderId="23" xfId="0" applyFont="1" applyFill="1" applyBorder="1" applyAlignment="1" applyProtection="1">
      <alignment horizontal="center" vertical="center"/>
    </xf>
    <xf numFmtId="176" fontId="7" fillId="4" borderId="34" xfId="2" quotePrefix="1" applyNumberFormat="1" applyFont="1" applyFill="1" applyBorder="1" applyAlignment="1" applyProtection="1">
      <alignment vertical="center"/>
    </xf>
    <xf numFmtId="176" fontId="7" fillId="4" borderId="23" xfId="2" quotePrefix="1" applyNumberFormat="1" applyFont="1" applyFill="1" applyBorder="1" applyAlignment="1" applyProtection="1">
      <alignment vertical="center"/>
    </xf>
    <xf numFmtId="0" fontId="3" fillId="3" borderId="31" xfId="0" applyFont="1" applyFill="1" applyBorder="1" applyAlignment="1" applyProtection="1">
      <alignment vertical="center" shrinkToFit="1"/>
    </xf>
    <xf numFmtId="0" fontId="3" fillId="3" borderId="33" xfId="0" applyFont="1" applyFill="1" applyBorder="1" applyAlignment="1" applyProtection="1">
      <alignment vertical="center" shrinkToFit="1"/>
    </xf>
    <xf numFmtId="0" fontId="17" fillId="3" borderId="33" xfId="0" applyFont="1" applyFill="1" applyBorder="1" applyAlignment="1" applyProtection="1">
      <alignment horizontal="center" vertical="center" shrinkToFit="1"/>
    </xf>
    <xf numFmtId="0" fontId="17" fillId="3" borderId="59" xfId="0" applyFont="1" applyFill="1" applyBorder="1" applyAlignment="1" applyProtection="1">
      <alignment horizontal="center" vertical="center" shrinkToFit="1"/>
    </xf>
    <xf numFmtId="0" fontId="40" fillId="3" borderId="30" xfId="0" applyFont="1" applyFill="1" applyBorder="1" applyAlignment="1" applyProtection="1">
      <alignment vertical="center" wrapText="1"/>
    </xf>
    <xf numFmtId="0" fontId="40" fillId="3" borderId="0" xfId="0" applyFont="1" applyFill="1" applyBorder="1" applyAlignment="1" applyProtection="1">
      <alignment vertical="center" wrapText="1"/>
    </xf>
    <xf numFmtId="0" fontId="40" fillId="3" borderId="39" xfId="0" applyFont="1" applyFill="1" applyBorder="1" applyAlignment="1" applyProtection="1">
      <alignment vertical="center" wrapText="1"/>
    </xf>
    <xf numFmtId="0" fontId="3" fillId="3" borderId="59" xfId="0" applyFont="1" applyFill="1" applyBorder="1" applyAlignment="1" applyProtection="1">
      <alignment horizontal="center" vertical="center" shrinkToFit="1"/>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1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right style="thin">
          <color auto="1"/>
        </right>
        <bottom style="thin">
          <color auto="1"/>
        </bottom>
        <vertical/>
        <horizontal/>
      </border>
    </dxf>
    <dxf>
      <border>
        <right style="thin">
          <color auto="1"/>
        </right>
        <bottom style="thin">
          <color auto="1"/>
        </bottom>
        <vertical/>
        <horizontal/>
      </border>
    </dxf>
    <dxf>
      <border>
        <left style="thin">
          <color auto="1"/>
        </left>
        <bottom style="thin">
          <color auto="1"/>
        </bottom>
        <vertical/>
        <horizontal/>
      </border>
    </dxf>
  </dxfs>
  <tableStyles count="0" defaultTableStyle="TableStyleMedium9" defaultPivotStyle="PivotStyleLight16"/>
  <colors>
    <mruColors>
      <color rgb="FF3366FF"/>
      <color rgb="FFFFFFCC"/>
      <color rgb="FFD9F1FF"/>
      <color rgb="FFFFE1E1"/>
      <color rgb="FFD9FFD9"/>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16号-1'!$Q$3" lockText="1" noThreeD="1"/>
</file>

<file path=xl/drawings/drawing1.xml><?xml version="1.0" encoding="utf-8"?>
<xdr:wsDr xmlns:xdr="http://schemas.openxmlformats.org/drawingml/2006/spreadsheetDrawing" xmlns:a="http://schemas.openxmlformats.org/drawingml/2006/main">
  <xdr:twoCellAnchor>
    <xdr:from>
      <xdr:col>14</xdr:col>
      <xdr:colOff>81641</xdr:colOff>
      <xdr:row>31</xdr:row>
      <xdr:rowOff>58208</xdr:rowOff>
    </xdr:from>
    <xdr:to>
      <xdr:col>14</xdr:col>
      <xdr:colOff>173867</xdr:colOff>
      <xdr:row>42</xdr:row>
      <xdr:rowOff>101600</xdr:rowOff>
    </xdr:to>
    <xdr:sp macro="" textlink="">
      <xdr:nvSpPr>
        <xdr:cNvPr id="10" name="右大かっこ 9">
          <a:extLst>
            <a:ext uri="{FF2B5EF4-FFF2-40B4-BE49-F238E27FC236}">
              <a16:creationId xmlns:a16="http://schemas.microsoft.com/office/drawing/2014/main" id="{00000000-0008-0000-0100-00000A000000}"/>
            </a:ext>
          </a:extLst>
        </xdr:cNvPr>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261257</xdr:colOff>
      <xdr:row>39</xdr:row>
      <xdr:rowOff>149677</xdr:rowOff>
    </xdr:from>
    <xdr:to>
      <xdr:col>20</xdr:col>
      <xdr:colOff>1357993</xdr:colOff>
      <xdr:row>42</xdr:row>
      <xdr:rowOff>76200</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8101065" y="11652946"/>
          <a:ext cx="4862774" cy="541985"/>
        </a:xfrm>
        <a:prstGeom prst="borderCallout2">
          <a:avLst>
            <a:gd name="adj1" fmla="val 44926"/>
            <a:gd name="adj2" fmla="val 227"/>
            <a:gd name="adj3" fmla="val 145805"/>
            <a:gd name="adj4" fmla="val -2517"/>
            <a:gd name="adj5" fmla="val -74310"/>
            <a:gd name="adj6" fmla="val -104340"/>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261257</xdr:colOff>
      <xdr:row>36</xdr:row>
      <xdr:rowOff>144975</xdr:rowOff>
    </xdr:from>
    <xdr:to>
      <xdr:col>20</xdr:col>
      <xdr:colOff>1181100</xdr:colOff>
      <xdr:row>38</xdr:row>
      <xdr:rowOff>163684</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101065" y="10695744"/>
          <a:ext cx="4685881" cy="780709"/>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17</xdr:col>
      <xdr:colOff>261257</xdr:colOff>
      <xdr:row>2</xdr:row>
      <xdr:rowOff>93207</xdr:rowOff>
    </xdr:from>
    <xdr:to>
      <xdr:col>21</xdr:col>
      <xdr:colOff>234462</xdr:colOff>
      <xdr:row>5</xdr:row>
      <xdr:rowOff>114300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01065" y="767284"/>
          <a:ext cx="5233935" cy="856362"/>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261257</xdr:colOff>
      <xdr:row>22</xdr:row>
      <xdr:rowOff>78925</xdr:rowOff>
    </xdr:from>
    <xdr:to>
      <xdr:col>29</xdr:col>
      <xdr:colOff>645398</xdr:colOff>
      <xdr:row>29</xdr:row>
      <xdr:rowOff>174173</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8147957" y="6365425"/>
          <a:ext cx="8855530" cy="2762248"/>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 8.1</a:t>
          </a:r>
          <a:r>
            <a:rPr kumimoji="1" lang="ja-JP" altLang="en-US"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2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261257</xdr:colOff>
      <xdr:row>30</xdr:row>
      <xdr:rowOff>225878</xdr:rowOff>
    </xdr:from>
    <xdr:to>
      <xdr:col>22</xdr:col>
      <xdr:colOff>29307</xdr:colOff>
      <xdr:row>36</xdr:row>
      <xdr:rowOff>87922</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bwMode="auto">
        <a:xfrm>
          <a:off x="8101065" y="9325916"/>
          <a:ext cx="5292550" cy="1312775"/>
        </a:xfrm>
        <a:prstGeom prst="borderCallout2">
          <a:avLst>
            <a:gd name="adj1" fmla="val 20133"/>
            <a:gd name="adj2" fmla="val -52"/>
            <a:gd name="adj3" fmla="val 90155"/>
            <a:gd name="adj4" fmla="val -2804"/>
            <a:gd name="adj5" fmla="val 118149"/>
            <a:gd name="adj6" fmla="val -12001"/>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個人の口座名義人を入力する場合、屋号と個人名の間にスペースを入れてください。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屋号の後に役職がある場合は、屋号・役職・個人名の間にもスペースを入れてください。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また個人名は苗字と名前の間にもスペースを入れてください。</a:t>
          </a:r>
          <a:endParaRPr lang="ja-JP" altLang="ja-JP">
            <a:solidFill>
              <a:sysClr val="windowText" lastClr="000000"/>
            </a:solidFill>
            <a:effectLst/>
          </a:endParaRPr>
        </a:p>
      </xdr:txBody>
    </xdr:sp>
    <xdr:clientData fPrintsWithSheet="0"/>
  </xdr:twoCellAnchor>
  <xdr:twoCellAnchor editAs="oneCell">
    <xdr:from>
      <xdr:col>17</xdr:col>
      <xdr:colOff>261257</xdr:colOff>
      <xdr:row>0</xdr:row>
      <xdr:rowOff>178933</xdr:rowOff>
    </xdr:from>
    <xdr:to>
      <xdr:col>21</xdr:col>
      <xdr:colOff>255363</xdr:colOff>
      <xdr:row>2</xdr:row>
      <xdr:rowOff>21430</xdr:rowOff>
    </xdr:to>
    <xdr:sp macro="" textlink="">
      <xdr:nvSpPr>
        <xdr:cNvPr id="17" name="線吹き出し 2 (枠付き) 5">
          <a:extLst>
            <a:ext uri="{FF2B5EF4-FFF2-40B4-BE49-F238E27FC236}">
              <a16:creationId xmlns:a16="http://schemas.microsoft.com/office/drawing/2014/main" id="{00000000-0008-0000-0100-000011000000}"/>
            </a:ext>
          </a:extLst>
        </xdr:cNvPr>
        <xdr:cNvSpPr/>
      </xdr:nvSpPr>
      <xdr:spPr>
        <a:xfrm>
          <a:off x="8147957" y="178933"/>
          <a:ext cx="5270956" cy="528297"/>
        </a:xfrm>
        <a:prstGeom prst="borderCallout2">
          <a:avLst>
            <a:gd name="adj1" fmla="val 70964"/>
            <a:gd name="adj2" fmla="val -222"/>
            <a:gd name="adj3" fmla="val 101299"/>
            <a:gd name="adj4" fmla="val -2696"/>
            <a:gd name="adj5" fmla="val 129338"/>
            <a:gd name="adj6" fmla="val -20062"/>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研修生が「多様な人材」であればチェックを入れてください。</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☑多様な人材</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多様な人材の場合、助成金額の上限が変更になります。</a:t>
          </a:r>
        </a:p>
      </xdr:txBody>
    </xdr:sp>
    <xdr:clientData fPrintsWithSheet="0"/>
  </xdr:twoCellAnchor>
  <mc:AlternateContent xmlns:mc="http://schemas.openxmlformats.org/markup-compatibility/2006">
    <mc:Choice xmlns:a14="http://schemas.microsoft.com/office/drawing/2010/main" Requires="a14">
      <xdr:twoCellAnchor editAs="absolute">
        <xdr:from>
          <xdr:col>12</xdr:col>
          <xdr:colOff>85725</xdr:colOff>
          <xdr:row>2</xdr:row>
          <xdr:rowOff>9525</xdr:rowOff>
        </xdr:from>
        <xdr:to>
          <xdr:col>14</xdr:col>
          <xdr:colOff>200025</xdr:colOff>
          <xdr:row>3</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多様な人材</a:t>
              </a:r>
            </a:p>
          </xdr:txBody>
        </xdr:sp>
        <xdr:clientData fLocksWithSheet="0"/>
      </xdr:twoCellAnchor>
    </mc:Choice>
    <mc:Fallback/>
  </mc:AlternateContent>
  <xdr:twoCellAnchor editAs="oneCell">
    <xdr:from>
      <xdr:col>17</xdr:col>
      <xdr:colOff>261257</xdr:colOff>
      <xdr:row>5</xdr:row>
      <xdr:rowOff>171450</xdr:rowOff>
    </xdr:from>
    <xdr:to>
      <xdr:col>20</xdr:col>
      <xdr:colOff>1251857</xdr:colOff>
      <xdr:row>7</xdr:row>
      <xdr:rowOff>95250</xdr:rowOff>
    </xdr:to>
    <xdr:sp macro="" textlink="">
      <xdr:nvSpPr>
        <xdr:cNvPr id="18" name="線吹き出し 2 (枠付き) 5">
          <a:extLst>
            <a:ext uri="{FF2B5EF4-FFF2-40B4-BE49-F238E27FC236}">
              <a16:creationId xmlns:a16="http://schemas.microsoft.com/office/drawing/2014/main" id="{00000000-0008-0000-0100-000012000000}"/>
            </a:ext>
          </a:extLst>
        </xdr:cNvPr>
        <xdr:cNvSpPr/>
      </xdr:nvSpPr>
      <xdr:spPr>
        <a:xfrm>
          <a:off x="8147957" y="1695450"/>
          <a:ext cx="4762500" cy="514350"/>
        </a:xfrm>
        <a:prstGeom prst="borderCallout2">
          <a:avLst>
            <a:gd name="adj1" fmla="val 38984"/>
            <a:gd name="adj2" fmla="val 102"/>
            <a:gd name="adj3" fmla="val 105629"/>
            <a:gd name="adj4" fmla="val -8104"/>
            <a:gd name="adj5" fmla="val 181284"/>
            <a:gd name="adj6" fmla="val -50368"/>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mn-lt"/>
              <a:ea typeface="+mn-ea"/>
              <a:cs typeface="+mn-cs"/>
            </a:rPr>
            <a:t>※</a:t>
          </a:r>
          <a:r>
            <a:rPr kumimoji="1" lang="ja-JP" altLang="ja-JP" sz="1200" b="1">
              <a:solidFill>
                <a:srgbClr val="FF0000"/>
              </a:solidFill>
              <a:latin typeface="+mn-lt"/>
              <a:ea typeface="+mn-ea"/>
              <a:cs typeface="+mn-cs"/>
            </a:rPr>
            <a:t>必ず「</a:t>
          </a:r>
          <a:r>
            <a:rPr kumimoji="1" lang="ja-JP" altLang="en-US" sz="1200" b="1">
              <a:solidFill>
                <a:srgbClr val="FF0000"/>
              </a:solidFill>
              <a:latin typeface="+mn-lt"/>
              <a:ea typeface="+mn-ea"/>
              <a:cs typeface="+mn-cs"/>
            </a:rPr>
            <a:t>農業法人等名</a:t>
          </a:r>
          <a:r>
            <a:rPr kumimoji="1" lang="ja-JP" altLang="ja-JP" sz="1200" b="1">
              <a:solidFill>
                <a:srgbClr val="FF0000"/>
              </a:solidFill>
              <a:latin typeface="+mn-lt"/>
              <a:ea typeface="+mn-ea"/>
              <a:cs typeface="+mn-cs"/>
            </a:rPr>
            <a:t>」を</a:t>
          </a:r>
          <a:r>
            <a:rPr kumimoji="1" lang="ja-JP" altLang="en-US" sz="1200" b="1">
              <a:solidFill>
                <a:srgbClr val="FF0000"/>
              </a:solidFill>
              <a:latin typeface="+mn-lt"/>
              <a:ea typeface="+mn-ea"/>
              <a:cs typeface="+mn-cs"/>
            </a:rPr>
            <a:t>記入</a:t>
          </a:r>
          <a:r>
            <a:rPr kumimoji="1" lang="ja-JP" altLang="ja-JP" sz="1200" b="1">
              <a:solidFill>
                <a:srgbClr val="FF0000"/>
              </a:solidFill>
              <a:latin typeface="+mn-lt"/>
              <a:ea typeface="+mn-ea"/>
              <a:cs typeface="+mn-cs"/>
            </a:rPr>
            <a:t>して</a:t>
          </a:r>
          <a:r>
            <a:rPr kumimoji="1" lang="ja-JP" altLang="en-US" sz="1200" b="1">
              <a:solidFill>
                <a:srgbClr val="FF0000"/>
              </a:solidFill>
              <a:latin typeface="+mn-lt"/>
              <a:ea typeface="+mn-ea"/>
              <a:cs typeface="+mn-cs"/>
            </a:rPr>
            <a:t>くだ</a:t>
          </a:r>
          <a:r>
            <a:rPr kumimoji="1" lang="ja-JP" altLang="ja-JP" sz="1200" b="1">
              <a:solidFill>
                <a:srgbClr val="FF0000"/>
              </a:solidFill>
              <a:latin typeface="+mn-lt"/>
              <a:ea typeface="+mn-ea"/>
              <a:cs typeface="+mn-cs"/>
            </a:rPr>
            <a:t>さい</a:t>
          </a:r>
          <a:r>
            <a:rPr kumimoji="1" lang="ja-JP" altLang="en-US" sz="1200" b="1">
              <a:solidFill>
                <a:srgbClr val="FF0000"/>
              </a:solidFill>
              <a:latin typeface="+mn-lt"/>
              <a:ea typeface="+mn-ea"/>
              <a:cs typeface="+mn-cs"/>
            </a:rPr>
            <a:t>。</a:t>
          </a:r>
          <a:endParaRPr kumimoji="1" lang="en-US" altLang="ja-JP" sz="1200" b="1">
            <a:solidFill>
              <a:srgbClr val="FF0000"/>
            </a:solidFill>
            <a:latin typeface="+mn-lt"/>
            <a:ea typeface="+mn-ea"/>
            <a:cs typeface="+mn-cs"/>
          </a:endParaRPr>
        </a:p>
        <a:p>
          <a:pPr algn="l"/>
          <a:r>
            <a:rPr kumimoji="1" lang="ja-JP" altLang="en-US" sz="1050">
              <a:solidFill>
                <a:sysClr val="windowText" lastClr="000000"/>
              </a:solidFill>
            </a:rPr>
            <a:t>　　</a:t>
          </a:r>
          <a:r>
            <a:rPr kumimoji="1" lang="ja-JP" altLang="en-US" sz="1100">
              <a:solidFill>
                <a:sysClr val="windowText" lastClr="000000"/>
              </a:solidFill>
            </a:rPr>
            <a:t>未入力だと、申請額内訳の金額が反映されません</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oneCell">
    <xdr:from>
      <xdr:col>10</xdr:col>
      <xdr:colOff>190500</xdr:colOff>
      <xdr:row>0</xdr:row>
      <xdr:rowOff>704851</xdr:rowOff>
    </xdr:from>
    <xdr:to>
      <xdr:col>10</xdr:col>
      <xdr:colOff>4517921</xdr:colOff>
      <xdr:row>33</xdr:row>
      <xdr:rowOff>95250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9925050" y="704851"/>
          <a:ext cx="4327421" cy="8020049"/>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a:lnSpc>
              <a:spcPts val="1900"/>
            </a:lnSpc>
          </a:pPr>
          <a:r>
            <a:rPr kumimoji="1" lang="ja-JP" altLang="en-US" sz="1600" b="1">
              <a:solidFill>
                <a:srgbClr val="FF0000"/>
              </a:solidFill>
              <a:effectLst/>
              <a:latin typeface="+mn-lt"/>
              <a:ea typeface="+mn-ea"/>
              <a:cs typeface="+mn-cs"/>
            </a:rPr>
            <a:t>（１）教育研修助成金</a:t>
          </a:r>
          <a:endParaRPr kumimoji="1" lang="en-US" altLang="ja-JP" sz="1600" b="1">
            <a:solidFill>
              <a:srgbClr val="FF0000"/>
            </a:solidFill>
            <a:effectLst/>
            <a:latin typeface="+mn-lt"/>
            <a:ea typeface="+mn-ea"/>
            <a:cs typeface="+mn-cs"/>
          </a:endParaRPr>
        </a:p>
        <a:p>
          <a:pPr>
            <a:lnSpc>
              <a:spcPts val="1900"/>
            </a:lnSpc>
          </a:pPr>
          <a:r>
            <a:rPr kumimoji="1" lang="ja-JP" altLang="en-US" sz="1600" b="1">
              <a:solidFill>
                <a:srgbClr val="FF0000"/>
              </a:solidFill>
              <a:effectLst/>
              <a:latin typeface="+mn-lt"/>
              <a:ea typeface="+mn-ea"/>
              <a:cs typeface="+mn-cs"/>
            </a:rPr>
            <a:t>（２）外部講師等謝金</a:t>
          </a:r>
        </a:p>
        <a:p>
          <a:pPr>
            <a:lnSpc>
              <a:spcPts val="1900"/>
            </a:lnSpc>
          </a:pPr>
          <a:r>
            <a:rPr kumimoji="1" lang="ja-JP" altLang="en-US" sz="1600" b="1">
              <a:solidFill>
                <a:srgbClr val="FF0000"/>
              </a:solidFill>
              <a:effectLst/>
              <a:latin typeface="+mn-lt"/>
              <a:ea typeface="+mn-ea"/>
              <a:cs typeface="+mn-cs"/>
            </a:rPr>
            <a:t>（３）旅　　費</a:t>
          </a:r>
        </a:p>
        <a:p>
          <a:pPr>
            <a:lnSpc>
              <a:spcPts val="1900"/>
            </a:lnSpc>
          </a:pPr>
          <a:r>
            <a:rPr kumimoji="1" lang="ja-JP" altLang="en-US" sz="1600" b="1">
              <a:solidFill>
                <a:srgbClr val="FF0000"/>
              </a:solidFill>
              <a:effectLst/>
              <a:latin typeface="+mn-lt"/>
              <a:ea typeface="+mn-ea"/>
              <a:cs typeface="+mn-cs"/>
            </a:rPr>
            <a:t>（４）労災保険料、雇用保険料</a:t>
          </a:r>
          <a:endParaRPr kumimoji="1" lang="en-US" altLang="ja-JP" sz="1600" b="1">
            <a:solidFill>
              <a:srgbClr val="FF0000"/>
            </a:solidFill>
            <a:effectLst/>
            <a:latin typeface="+mn-lt"/>
            <a:ea typeface="+mn-ea"/>
            <a:cs typeface="+mn-cs"/>
          </a:endParaRPr>
        </a:p>
        <a:p>
          <a:pPr>
            <a:lnSpc>
              <a:spcPts val="1900"/>
            </a:lnSpc>
          </a:pPr>
          <a:endParaRPr kumimoji="1" lang="en-US" altLang="ja-JP" sz="1600" b="1">
            <a:solidFill>
              <a:srgbClr val="FF0000"/>
            </a:solidFill>
            <a:effectLst/>
            <a:latin typeface="+mn-lt"/>
            <a:ea typeface="+mn-ea"/>
            <a:cs typeface="+mn-cs"/>
          </a:endParaRPr>
        </a:p>
        <a:p>
          <a:pPr>
            <a:lnSpc>
              <a:spcPts val="1900"/>
            </a:lnSpc>
          </a:pPr>
          <a:r>
            <a:rPr kumimoji="1" lang="ja-JP" altLang="en-US" sz="1600">
              <a:solidFill>
                <a:schemeClr val="tx1"/>
              </a:solidFill>
              <a:effectLst/>
              <a:latin typeface="+mn-ea"/>
              <a:ea typeface="+mn-ea"/>
              <a:cs typeface="+mn-cs"/>
            </a:rPr>
            <a:t>・上記の各科目ごとに月上限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円）を超える金額、マイナス金額、テキストを入力するとエラーが表示されます。</a:t>
          </a:r>
          <a:endParaRPr kumimoji="1" lang="en-US" altLang="ja-JP" sz="1600">
            <a:solidFill>
              <a:schemeClr val="tx1"/>
            </a:solidFill>
            <a:effectLst/>
            <a:latin typeface="+mn-ea"/>
            <a:ea typeface="+mn-ea"/>
            <a:cs typeface="+mn-cs"/>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600">
              <a:solidFill>
                <a:schemeClr val="tx1"/>
              </a:solidFill>
              <a:effectLst/>
              <a:latin typeface="+mn-lt"/>
              <a:ea typeface="+mn-ea"/>
              <a:cs typeface="+mn-cs"/>
            </a:rPr>
            <a:t>・（１）～（４）の入力合計額が、月上限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a:t>
          </a:r>
          <a:r>
            <a:rPr kumimoji="1" lang="ja-JP" altLang="en-US" sz="1600">
              <a:solidFill>
                <a:schemeClr val="tx1"/>
              </a:solidFill>
              <a:effectLst/>
              <a:latin typeface="+mn-lt"/>
              <a:ea typeface="+mn-ea"/>
              <a:cs typeface="+mn-cs"/>
            </a:rPr>
            <a:t>より超えた場合は、「（１）～（４）計」は月上限額に自動計算されます。</a:t>
          </a:r>
          <a:endParaRPr kumimoji="1" lang="en-US" altLang="ja-JP" sz="1600">
            <a:solidFill>
              <a:schemeClr val="tx1"/>
            </a:solidFill>
            <a:effectLst/>
            <a:latin typeface="+mn-lt"/>
            <a:ea typeface="+mn-ea"/>
            <a:cs typeface="+mn-cs"/>
          </a:endParaRPr>
        </a:p>
        <a:p>
          <a:pPr>
            <a:lnSpc>
              <a:spcPts val="1900"/>
            </a:lnSpc>
          </a:pPr>
          <a:endParaRPr kumimoji="1" lang="en-US" altLang="ja-JP" sz="1500">
            <a:solidFill>
              <a:schemeClr val="tx1"/>
            </a:solidFill>
            <a:effectLst/>
            <a:latin typeface="+mn-lt"/>
            <a:ea typeface="+mn-ea"/>
            <a:cs typeface="+mn-cs"/>
          </a:endParaRPr>
        </a:p>
        <a:p>
          <a:pPr>
            <a:lnSpc>
              <a:spcPts val="1900"/>
            </a:lnSpc>
          </a:pPr>
          <a:endParaRPr kumimoji="1" lang="en-US" altLang="ja-JP" sz="1600">
            <a:solidFill>
              <a:schemeClr val="tx1"/>
            </a:solidFill>
            <a:effectLst/>
            <a:latin typeface="+mn-lt"/>
            <a:ea typeface="+mn-ea"/>
            <a:cs typeface="+mn-cs"/>
          </a:endParaRPr>
        </a:p>
        <a:p>
          <a:pPr>
            <a:lnSpc>
              <a:spcPts val="1900"/>
            </a:lnSpc>
          </a:pPr>
          <a:r>
            <a:rPr lang="ja-JP" altLang="en-US" sz="1600" b="1">
              <a:solidFill>
                <a:srgbClr val="FF0000"/>
              </a:solidFill>
              <a:effectLst/>
              <a:latin typeface="+mn-ea"/>
              <a:ea typeface="+mn-ea"/>
            </a:rPr>
            <a:t>（５）指導者研修費</a:t>
          </a:r>
          <a:endParaRPr lang="en-US" altLang="ja-JP" sz="1600" b="1">
            <a:solidFill>
              <a:srgbClr val="FF0000"/>
            </a:solidFill>
            <a:effectLst/>
            <a:latin typeface="+mn-ea"/>
            <a:ea typeface="+mn-ea"/>
          </a:endParaRPr>
        </a:p>
        <a:p>
          <a:pPr>
            <a:lnSpc>
              <a:spcPts val="1900"/>
            </a:lnSpc>
          </a:pPr>
          <a:r>
            <a:rPr lang="ja-JP" altLang="en-US" sz="1600" b="0">
              <a:solidFill>
                <a:sysClr val="windowText" lastClr="000000"/>
              </a:solidFill>
              <a:effectLst/>
              <a:latin typeface="+mn-ea"/>
              <a:ea typeface="+mn-ea"/>
            </a:rPr>
            <a:t>・年上限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円）を超える金額、マイナス金額、テキストを入力するとエラーが表示されます。</a:t>
          </a:r>
          <a:endParaRPr lang="en-US" altLang="ja-JP" sz="1600" b="0">
            <a:solidFill>
              <a:sysClr val="windowText" lastClr="000000"/>
            </a:solidFill>
            <a:effectLst/>
            <a:latin typeface="+mn-ea"/>
            <a:ea typeface="+mn-ea"/>
          </a:endParaRPr>
        </a:p>
        <a:p>
          <a:pPr>
            <a:lnSpc>
              <a:spcPts val="1900"/>
            </a:lnSpc>
          </a:pPr>
          <a:endParaRPr lang="en-US" altLang="ja-JP" sz="1600" b="0">
            <a:solidFill>
              <a:sysClr val="windowText" lastClr="000000"/>
            </a:solidFill>
            <a:effectLst/>
            <a:latin typeface="+mn-ea"/>
            <a:ea typeface="+mn-ea"/>
          </a:endParaRPr>
        </a:p>
        <a:p>
          <a:pPr>
            <a:lnSpc>
              <a:spcPts val="1900"/>
            </a:lnSpc>
          </a:pPr>
          <a:r>
            <a:rPr lang="ja-JP" altLang="en-US" sz="1600" b="0">
              <a:solidFill>
                <a:sysClr val="windowText" lastClr="000000"/>
              </a:solidFill>
              <a:effectLst/>
              <a:latin typeface="+mn-ea"/>
              <a:ea typeface="+mn-ea"/>
            </a:rPr>
            <a:t>・２年目の（１）～（５）合計額が年上限</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200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500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円）を超えた場合、または指導者研修費の合計額が年上限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円）」を超えた場合、正しい上限額に自動計算し、１年目の合計額と合算します。</a:t>
          </a:r>
          <a:endParaRPr lang="en-US" altLang="ja-JP" sz="1600" b="0">
            <a:solidFill>
              <a:sysClr val="windowText" lastClr="000000"/>
            </a:solidFill>
            <a:effectLst/>
            <a:latin typeface="+mn-ea"/>
            <a:ea typeface="+mn-ea"/>
          </a:endParaRPr>
        </a:p>
        <a:p>
          <a:pPr>
            <a:lnSpc>
              <a:spcPts val="1900"/>
            </a:lnSpc>
          </a:pPr>
          <a:endParaRPr lang="en-US" altLang="ja-JP" sz="1600" b="0">
            <a:solidFill>
              <a:sysClr val="windowText" lastClr="000000"/>
            </a:solidFill>
            <a:effectLst/>
            <a:latin typeface="+mn-ea"/>
            <a:ea typeface="+mn-ea"/>
          </a:endParaRPr>
        </a:p>
        <a:p>
          <a:pPr>
            <a:lnSpc>
              <a:spcPts val="1900"/>
            </a:lnSpc>
          </a:pPr>
          <a:endParaRPr lang="en-US" altLang="ja-JP" sz="1600" b="0">
            <a:solidFill>
              <a:sysClr val="windowText" lastClr="000000"/>
            </a:solidFill>
            <a:effectLst/>
            <a:latin typeface="+mn-ea"/>
            <a:ea typeface="+mn-ea"/>
          </a:endParaRPr>
        </a:p>
        <a:p>
          <a:pPr>
            <a:lnSpc>
              <a:spcPts val="1900"/>
            </a:lnSpc>
          </a:pPr>
          <a:r>
            <a:rPr lang="ja-JP" altLang="en-US" sz="1600" b="1">
              <a:solidFill>
                <a:srgbClr val="FF0000"/>
              </a:solidFill>
              <a:effectLst/>
            </a:rPr>
            <a:t>（６）語学研修費</a:t>
          </a:r>
          <a:endParaRPr lang="en-US" altLang="ja-JP" sz="1600" b="1">
            <a:solidFill>
              <a:srgbClr val="FF0000"/>
            </a:solidFill>
            <a:effectLst/>
          </a:endParaRPr>
        </a:p>
        <a:p>
          <a:pPr>
            <a:lnSpc>
              <a:spcPts val="1900"/>
            </a:lnSpc>
          </a:pPr>
          <a:r>
            <a:rPr lang="ja-JP" altLang="en-US" sz="1600" b="0">
              <a:solidFill>
                <a:sysClr val="windowText" lastClr="000000"/>
              </a:solidFill>
              <a:effectLst/>
            </a:rPr>
            <a:t>・月上限</a:t>
          </a:r>
          <a:r>
            <a:rPr lang="en-US" altLang="ja-JP" sz="1600" b="0">
              <a:solidFill>
                <a:sysClr val="windowText" lastClr="000000"/>
              </a:solidFill>
              <a:effectLst/>
            </a:rPr>
            <a:t>30</a:t>
          </a:r>
          <a:r>
            <a:rPr lang="ja-JP" altLang="en-US" sz="1600" b="0">
              <a:solidFill>
                <a:sysClr val="windowText" lastClr="000000"/>
              </a:solidFill>
              <a:effectLst/>
            </a:rPr>
            <a:t>，</a:t>
          </a:r>
          <a:r>
            <a:rPr lang="en-US" altLang="ja-JP" sz="1600" b="0">
              <a:solidFill>
                <a:sysClr val="windowText" lastClr="000000"/>
              </a:solidFill>
              <a:effectLst/>
            </a:rPr>
            <a:t>000</a:t>
          </a:r>
          <a:r>
            <a:rPr lang="ja-JP" altLang="en-US" sz="1600" b="0">
              <a:solidFill>
                <a:sysClr val="windowText" lastClr="000000"/>
              </a:solidFill>
              <a:effectLst/>
            </a:rPr>
            <a:t>円を超える金額、マイナス金額、テキストを入力するとエラーが表示されます。</a:t>
          </a: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ja-JP" altLang="en-US" sz="1600" b="0">
            <a:solidFill>
              <a:sysClr val="windowText" lastClr="000000"/>
            </a:solidFill>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xdr:from>
      <xdr:col>2</xdr:col>
      <xdr:colOff>0</xdr:colOff>
      <xdr:row>0</xdr:row>
      <xdr:rowOff>76200</xdr:rowOff>
    </xdr:from>
    <xdr:to>
      <xdr:col>8</xdr:col>
      <xdr:colOff>181171</xdr:colOff>
      <xdr:row>0</xdr:row>
      <xdr:rowOff>622886</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819400" y="76200"/>
          <a:ext cx="5762821"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8107" y="50798"/>
          <a:ext cx="2092325"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xdr:from>
      <xdr:col>2</xdr:col>
      <xdr:colOff>0</xdr:colOff>
      <xdr:row>0</xdr:row>
      <xdr:rowOff>57150</xdr:rowOff>
    </xdr:from>
    <xdr:to>
      <xdr:col>8</xdr:col>
      <xdr:colOff>181171</xdr:colOff>
      <xdr:row>0</xdr:row>
      <xdr:rowOff>603836</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819400" y="57150"/>
          <a:ext cx="5762821"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editAs="oneCell">
    <xdr:from>
      <xdr:col>10</xdr:col>
      <xdr:colOff>209550</xdr:colOff>
      <xdr:row>1</xdr:row>
      <xdr:rowOff>0</xdr:rowOff>
    </xdr:from>
    <xdr:to>
      <xdr:col>10</xdr:col>
      <xdr:colOff>4536971</xdr:colOff>
      <xdr:row>33</xdr:row>
      <xdr:rowOff>114299</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9944100" y="723900"/>
          <a:ext cx="4327421" cy="8020049"/>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a:lnSpc>
              <a:spcPts val="1900"/>
            </a:lnSpc>
          </a:pPr>
          <a:r>
            <a:rPr kumimoji="1" lang="ja-JP" altLang="en-US" sz="1600" b="1">
              <a:solidFill>
                <a:srgbClr val="FF0000"/>
              </a:solidFill>
              <a:effectLst/>
              <a:latin typeface="+mn-lt"/>
              <a:ea typeface="+mn-ea"/>
              <a:cs typeface="+mn-cs"/>
            </a:rPr>
            <a:t>（１）教育研修助成金</a:t>
          </a:r>
          <a:endParaRPr kumimoji="1" lang="en-US" altLang="ja-JP" sz="1600" b="1">
            <a:solidFill>
              <a:srgbClr val="FF0000"/>
            </a:solidFill>
            <a:effectLst/>
            <a:latin typeface="+mn-lt"/>
            <a:ea typeface="+mn-ea"/>
            <a:cs typeface="+mn-cs"/>
          </a:endParaRPr>
        </a:p>
        <a:p>
          <a:pPr>
            <a:lnSpc>
              <a:spcPts val="1900"/>
            </a:lnSpc>
          </a:pPr>
          <a:r>
            <a:rPr kumimoji="1" lang="ja-JP" altLang="en-US" sz="1600" b="1">
              <a:solidFill>
                <a:srgbClr val="FF0000"/>
              </a:solidFill>
              <a:effectLst/>
              <a:latin typeface="+mn-lt"/>
              <a:ea typeface="+mn-ea"/>
              <a:cs typeface="+mn-cs"/>
            </a:rPr>
            <a:t>（２）外部講師等謝金</a:t>
          </a:r>
        </a:p>
        <a:p>
          <a:pPr>
            <a:lnSpc>
              <a:spcPts val="1900"/>
            </a:lnSpc>
          </a:pPr>
          <a:r>
            <a:rPr kumimoji="1" lang="ja-JP" altLang="en-US" sz="1600" b="1">
              <a:solidFill>
                <a:srgbClr val="FF0000"/>
              </a:solidFill>
              <a:effectLst/>
              <a:latin typeface="+mn-lt"/>
              <a:ea typeface="+mn-ea"/>
              <a:cs typeface="+mn-cs"/>
            </a:rPr>
            <a:t>（３）旅　　費</a:t>
          </a:r>
        </a:p>
        <a:p>
          <a:pPr>
            <a:lnSpc>
              <a:spcPts val="1900"/>
            </a:lnSpc>
          </a:pPr>
          <a:r>
            <a:rPr kumimoji="1" lang="ja-JP" altLang="en-US" sz="1600" b="1">
              <a:solidFill>
                <a:srgbClr val="FF0000"/>
              </a:solidFill>
              <a:effectLst/>
              <a:latin typeface="+mn-lt"/>
              <a:ea typeface="+mn-ea"/>
              <a:cs typeface="+mn-cs"/>
            </a:rPr>
            <a:t>（４）労災保険料、雇用保険料</a:t>
          </a:r>
          <a:endParaRPr kumimoji="1" lang="en-US" altLang="ja-JP" sz="1600" b="1">
            <a:solidFill>
              <a:srgbClr val="FF0000"/>
            </a:solidFill>
            <a:effectLst/>
            <a:latin typeface="+mn-lt"/>
            <a:ea typeface="+mn-ea"/>
            <a:cs typeface="+mn-cs"/>
          </a:endParaRPr>
        </a:p>
        <a:p>
          <a:pPr>
            <a:lnSpc>
              <a:spcPts val="1900"/>
            </a:lnSpc>
          </a:pPr>
          <a:endParaRPr kumimoji="1" lang="en-US" altLang="ja-JP" sz="1600" b="1">
            <a:solidFill>
              <a:srgbClr val="FF0000"/>
            </a:solidFill>
            <a:effectLst/>
            <a:latin typeface="+mn-lt"/>
            <a:ea typeface="+mn-ea"/>
            <a:cs typeface="+mn-cs"/>
          </a:endParaRPr>
        </a:p>
        <a:p>
          <a:pPr>
            <a:lnSpc>
              <a:spcPts val="1900"/>
            </a:lnSpc>
          </a:pPr>
          <a:r>
            <a:rPr kumimoji="1" lang="ja-JP" altLang="en-US" sz="1600">
              <a:solidFill>
                <a:schemeClr val="tx1"/>
              </a:solidFill>
              <a:effectLst/>
              <a:latin typeface="+mn-ea"/>
              <a:ea typeface="+mn-ea"/>
              <a:cs typeface="+mn-cs"/>
            </a:rPr>
            <a:t>・上記の各科目ごとに月上限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円）を超える金額、マイナス金額、テキストを入力するとエラーが表示されます。</a:t>
          </a:r>
        </a:p>
        <a:p>
          <a:pPr>
            <a:lnSpc>
              <a:spcPts val="1900"/>
            </a:lnSpc>
          </a:pPr>
          <a:endParaRPr kumimoji="1" lang="ja-JP" altLang="en-US" sz="1600">
            <a:solidFill>
              <a:schemeClr val="tx1"/>
            </a:solidFill>
            <a:effectLst/>
            <a:latin typeface="+mn-ea"/>
            <a:ea typeface="+mn-ea"/>
            <a:cs typeface="+mn-cs"/>
          </a:endParaRPr>
        </a:p>
        <a:p>
          <a:pPr>
            <a:lnSpc>
              <a:spcPts val="1900"/>
            </a:lnSpc>
          </a:pPr>
          <a:r>
            <a:rPr kumimoji="1" lang="ja-JP" altLang="en-US" sz="1600">
              <a:solidFill>
                <a:schemeClr val="tx1"/>
              </a:solidFill>
              <a:effectLst/>
              <a:latin typeface="+mn-ea"/>
              <a:ea typeface="+mn-ea"/>
              <a:cs typeface="+mn-cs"/>
            </a:rPr>
            <a:t>・（１）～（４）の入力合計額が、月上限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円）より超えた場合は、「（１）～（４）計」は月上限額に自動計算されます。</a:t>
          </a:r>
        </a:p>
        <a:p>
          <a:pPr>
            <a:lnSpc>
              <a:spcPts val="1900"/>
            </a:lnSpc>
          </a:pPr>
          <a:endParaRPr kumimoji="1" lang="en-US" altLang="ja-JP" sz="1500">
            <a:solidFill>
              <a:schemeClr val="tx1"/>
            </a:solidFill>
            <a:effectLst/>
            <a:latin typeface="+mn-lt"/>
            <a:ea typeface="+mn-ea"/>
            <a:cs typeface="+mn-cs"/>
          </a:endParaRPr>
        </a:p>
        <a:p>
          <a:pPr>
            <a:lnSpc>
              <a:spcPts val="1900"/>
            </a:lnSpc>
          </a:pPr>
          <a:endParaRPr kumimoji="1" lang="en-US" altLang="ja-JP" sz="1600">
            <a:solidFill>
              <a:schemeClr val="tx1"/>
            </a:solidFill>
            <a:effectLst/>
            <a:latin typeface="+mn-lt"/>
            <a:ea typeface="+mn-ea"/>
            <a:cs typeface="+mn-cs"/>
          </a:endParaRPr>
        </a:p>
        <a:p>
          <a:pPr>
            <a:lnSpc>
              <a:spcPts val="1900"/>
            </a:lnSpc>
          </a:pPr>
          <a:r>
            <a:rPr lang="ja-JP" altLang="en-US" sz="1600" b="1">
              <a:solidFill>
                <a:srgbClr val="FF0000"/>
              </a:solidFill>
              <a:effectLst/>
              <a:latin typeface="+mn-ea"/>
              <a:ea typeface="+mn-ea"/>
            </a:rPr>
            <a:t>（５）指導者研修費</a:t>
          </a:r>
          <a:endParaRPr lang="en-US" altLang="ja-JP" sz="1600" b="1">
            <a:solidFill>
              <a:srgbClr val="FF0000"/>
            </a:solidFill>
            <a:effectLst/>
            <a:latin typeface="+mn-ea"/>
            <a:ea typeface="+mn-ea"/>
          </a:endParaRPr>
        </a:p>
        <a:p>
          <a:pPr>
            <a:lnSpc>
              <a:spcPts val="1900"/>
            </a:lnSpc>
          </a:pPr>
          <a:r>
            <a:rPr lang="ja-JP" altLang="en-US" sz="1600" b="0">
              <a:solidFill>
                <a:sysClr val="windowText" lastClr="000000"/>
              </a:solidFill>
              <a:effectLst/>
              <a:latin typeface="+mn-ea"/>
              <a:ea typeface="+mn-ea"/>
            </a:rPr>
            <a:t>・年上限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円）を超える金額、マイナス金額、テキストを入力するとエラーが表示されます。</a:t>
          </a:r>
        </a:p>
        <a:p>
          <a:pPr>
            <a:lnSpc>
              <a:spcPts val="1900"/>
            </a:lnSpc>
          </a:pPr>
          <a:endParaRPr lang="en-US" altLang="ja-JP" sz="1600" b="0">
            <a:solidFill>
              <a:sysClr val="windowText" lastClr="000000"/>
            </a:solidFill>
            <a:effectLst/>
            <a:latin typeface="+mn-ea"/>
            <a:ea typeface="+mn-ea"/>
          </a:endParaRPr>
        </a:p>
        <a:p>
          <a:pPr>
            <a:lnSpc>
              <a:spcPts val="1900"/>
            </a:lnSpc>
          </a:pPr>
          <a:r>
            <a:rPr lang="ja-JP" altLang="en-US" sz="1600" b="0">
              <a:solidFill>
                <a:sysClr val="windowText" lastClr="000000"/>
              </a:solidFill>
              <a:effectLst/>
              <a:latin typeface="+mn-ea"/>
              <a:ea typeface="+mn-ea"/>
            </a:rPr>
            <a:t>・２年目の（１）～（５）合計額が年上限</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200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500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円）を超えた場合、または指導者研修費の合計額が年上限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円）」を超えた場合、正しい上限額に自動計算し、１年目の合計額と合算します。</a:t>
          </a:r>
        </a:p>
        <a:p>
          <a:pPr>
            <a:lnSpc>
              <a:spcPts val="1900"/>
            </a:lnSpc>
          </a:pPr>
          <a:endParaRPr lang="en-US" altLang="ja-JP" sz="1600" b="0">
            <a:solidFill>
              <a:sysClr val="windowText" lastClr="000000"/>
            </a:solidFill>
            <a:effectLst/>
            <a:latin typeface="+mn-ea"/>
            <a:ea typeface="+mn-ea"/>
          </a:endParaRPr>
        </a:p>
        <a:p>
          <a:pPr>
            <a:lnSpc>
              <a:spcPts val="1900"/>
            </a:lnSpc>
          </a:pPr>
          <a:endParaRPr lang="en-US" altLang="ja-JP" sz="1600" b="0">
            <a:solidFill>
              <a:sysClr val="windowText" lastClr="000000"/>
            </a:solidFill>
            <a:effectLst/>
            <a:latin typeface="+mn-ea"/>
            <a:ea typeface="+mn-ea"/>
          </a:endParaRPr>
        </a:p>
        <a:p>
          <a:pPr>
            <a:lnSpc>
              <a:spcPts val="1900"/>
            </a:lnSpc>
          </a:pPr>
          <a:r>
            <a:rPr lang="ja-JP" altLang="en-US" sz="1600" b="1">
              <a:solidFill>
                <a:srgbClr val="FF0000"/>
              </a:solidFill>
              <a:effectLst/>
            </a:rPr>
            <a:t>（６）語学研修費</a:t>
          </a:r>
          <a:endParaRPr lang="en-US" altLang="ja-JP" sz="1600" b="1">
            <a:solidFill>
              <a:srgbClr val="FF0000"/>
            </a:solidFill>
            <a:effectLst/>
          </a:endParaRPr>
        </a:p>
        <a:p>
          <a:pPr>
            <a:lnSpc>
              <a:spcPts val="1900"/>
            </a:lnSpc>
          </a:pPr>
          <a:r>
            <a:rPr lang="ja-JP" altLang="en-US" sz="1600" b="0">
              <a:solidFill>
                <a:sysClr val="windowText" lastClr="000000"/>
              </a:solidFill>
              <a:effectLst/>
            </a:rPr>
            <a:t>・月上限</a:t>
          </a:r>
          <a:r>
            <a:rPr lang="en-US" altLang="ja-JP" sz="1600" b="0">
              <a:solidFill>
                <a:sysClr val="windowText" lastClr="000000"/>
              </a:solidFill>
              <a:effectLst/>
            </a:rPr>
            <a:t>30</a:t>
          </a:r>
          <a:r>
            <a:rPr lang="ja-JP" altLang="en-US" sz="1600" b="0">
              <a:solidFill>
                <a:sysClr val="windowText" lastClr="000000"/>
              </a:solidFill>
              <a:effectLst/>
            </a:rPr>
            <a:t>，</a:t>
          </a:r>
          <a:r>
            <a:rPr lang="en-US" altLang="ja-JP" sz="1600" b="0">
              <a:solidFill>
                <a:sysClr val="windowText" lastClr="000000"/>
              </a:solidFill>
              <a:effectLst/>
            </a:rPr>
            <a:t>000</a:t>
          </a:r>
          <a:r>
            <a:rPr lang="ja-JP" altLang="en-US" sz="1600" b="0">
              <a:solidFill>
                <a:sysClr val="windowText" lastClr="000000"/>
              </a:solidFill>
              <a:effectLst/>
            </a:rPr>
            <a:t>円を超える金額、マイナス金額、テキストを入力するとエラーが表示されます。</a:t>
          </a: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ja-JP" altLang="en-US" sz="1600" b="0">
            <a:solidFill>
              <a:sysClr val="windowText" lastClr="000000"/>
            </a:solidFill>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88107" y="50798"/>
          <a:ext cx="2092325"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xdr:from>
      <xdr:col>2</xdr:col>
      <xdr:colOff>19050</xdr:colOff>
      <xdr:row>0</xdr:row>
      <xdr:rowOff>57150</xdr:rowOff>
    </xdr:from>
    <xdr:to>
      <xdr:col>8</xdr:col>
      <xdr:colOff>200221</xdr:colOff>
      <xdr:row>0</xdr:row>
      <xdr:rowOff>603836</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838450" y="57150"/>
          <a:ext cx="5762821"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editAs="oneCell">
    <xdr:from>
      <xdr:col>10</xdr:col>
      <xdr:colOff>190500</xdr:colOff>
      <xdr:row>1</xdr:row>
      <xdr:rowOff>0</xdr:rowOff>
    </xdr:from>
    <xdr:to>
      <xdr:col>10</xdr:col>
      <xdr:colOff>4517921</xdr:colOff>
      <xdr:row>33</xdr:row>
      <xdr:rowOff>114299</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9925050" y="723900"/>
          <a:ext cx="4327421" cy="8020049"/>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a:lnSpc>
              <a:spcPts val="1900"/>
            </a:lnSpc>
          </a:pPr>
          <a:r>
            <a:rPr kumimoji="1" lang="ja-JP" altLang="en-US" sz="1600" b="1">
              <a:solidFill>
                <a:srgbClr val="FF0000"/>
              </a:solidFill>
              <a:effectLst/>
              <a:latin typeface="+mn-lt"/>
              <a:ea typeface="+mn-ea"/>
              <a:cs typeface="+mn-cs"/>
            </a:rPr>
            <a:t>（１）教育研修助成金</a:t>
          </a:r>
          <a:endParaRPr kumimoji="1" lang="en-US" altLang="ja-JP" sz="1600" b="1">
            <a:solidFill>
              <a:srgbClr val="FF0000"/>
            </a:solidFill>
            <a:effectLst/>
            <a:latin typeface="+mn-lt"/>
            <a:ea typeface="+mn-ea"/>
            <a:cs typeface="+mn-cs"/>
          </a:endParaRPr>
        </a:p>
        <a:p>
          <a:pPr>
            <a:lnSpc>
              <a:spcPts val="1900"/>
            </a:lnSpc>
          </a:pPr>
          <a:r>
            <a:rPr kumimoji="1" lang="ja-JP" altLang="en-US" sz="1600" b="1">
              <a:solidFill>
                <a:srgbClr val="FF0000"/>
              </a:solidFill>
              <a:effectLst/>
              <a:latin typeface="+mn-lt"/>
              <a:ea typeface="+mn-ea"/>
              <a:cs typeface="+mn-cs"/>
            </a:rPr>
            <a:t>（２）外部講師等謝金</a:t>
          </a:r>
        </a:p>
        <a:p>
          <a:pPr>
            <a:lnSpc>
              <a:spcPts val="1900"/>
            </a:lnSpc>
          </a:pPr>
          <a:r>
            <a:rPr kumimoji="1" lang="ja-JP" altLang="en-US" sz="1600" b="1">
              <a:solidFill>
                <a:srgbClr val="FF0000"/>
              </a:solidFill>
              <a:effectLst/>
              <a:latin typeface="+mn-lt"/>
              <a:ea typeface="+mn-ea"/>
              <a:cs typeface="+mn-cs"/>
            </a:rPr>
            <a:t>（３）旅　　費</a:t>
          </a:r>
        </a:p>
        <a:p>
          <a:pPr>
            <a:lnSpc>
              <a:spcPts val="1900"/>
            </a:lnSpc>
          </a:pPr>
          <a:r>
            <a:rPr kumimoji="1" lang="ja-JP" altLang="en-US" sz="1600" b="1">
              <a:solidFill>
                <a:srgbClr val="FF0000"/>
              </a:solidFill>
              <a:effectLst/>
              <a:latin typeface="+mn-lt"/>
              <a:ea typeface="+mn-ea"/>
              <a:cs typeface="+mn-cs"/>
            </a:rPr>
            <a:t>（４）労災保険料、雇用保険料</a:t>
          </a:r>
          <a:endParaRPr kumimoji="1" lang="en-US" altLang="ja-JP" sz="1600" b="1">
            <a:solidFill>
              <a:srgbClr val="FF0000"/>
            </a:solidFill>
            <a:effectLst/>
            <a:latin typeface="+mn-lt"/>
            <a:ea typeface="+mn-ea"/>
            <a:cs typeface="+mn-cs"/>
          </a:endParaRPr>
        </a:p>
        <a:p>
          <a:pPr>
            <a:lnSpc>
              <a:spcPts val="1900"/>
            </a:lnSpc>
          </a:pPr>
          <a:endParaRPr kumimoji="1" lang="en-US" altLang="ja-JP" sz="1600" b="1">
            <a:solidFill>
              <a:srgbClr val="FF0000"/>
            </a:solidFill>
            <a:effectLst/>
            <a:latin typeface="+mn-lt"/>
            <a:ea typeface="+mn-ea"/>
            <a:cs typeface="+mn-cs"/>
          </a:endParaRPr>
        </a:p>
        <a:p>
          <a:pPr>
            <a:lnSpc>
              <a:spcPts val="1900"/>
            </a:lnSpc>
          </a:pPr>
          <a:r>
            <a:rPr kumimoji="1" lang="ja-JP" altLang="en-US" sz="1600">
              <a:solidFill>
                <a:schemeClr val="tx1"/>
              </a:solidFill>
              <a:effectLst/>
              <a:latin typeface="+mn-ea"/>
              <a:ea typeface="+mn-ea"/>
              <a:cs typeface="+mn-cs"/>
            </a:rPr>
            <a:t>・上記の各科目ごとに月上限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円）を超える金額、マイナス金額、テキストを入力するとエラーが表示されます。</a:t>
          </a:r>
        </a:p>
        <a:p>
          <a:pPr>
            <a:lnSpc>
              <a:spcPts val="1900"/>
            </a:lnSpc>
          </a:pPr>
          <a:endParaRPr kumimoji="1" lang="ja-JP" altLang="en-US" sz="1600">
            <a:solidFill>
              <a:schemeClr val="tx1"/>
            </a:solidFill>
            <a:effectLst/>
            <a:latin typeface="+mn-ea"/>
            <a:ea typeface="+mn-ea"/>
            <a:cs typeface="+mn-cs"/>
          </a:endParaRPr>
        </a:p>
        <a:p>
          <a:pPr>
            <a:lnSpc>
              <a:spcPts val="1900"/>
            </a:lnSpc>
          </a:pPr>
          <a:r>
            <a:rPr kumimoji="1" lang="ja-JP" altLang="en-US" sz="1600">
              <a:solidFill>
                <a:schemeClr val="tx1"/>
              </a:solidFill>
              <a:effectLst/>
              <a:latin typeface="+mn-ea"/>
              <a:ea typeface="+mn-ea"/>
              <a:cs typeface="+mn-cs"/>
            </a:rPr>
            <a:t>・（１）～（４）の入力合計額が、月上限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円）より超えた場合は、「（１）～（４）計」は月上限額に自動計算されます。</a:t>
          </a:r>
        </a:p>
        <a:p>
          <a:pPr>
            <a:lnSpc>
              <a:spcPts val="1900"/>
            </a:lnSpc>
          </a:pPr>
          <a:endParaRPr kumimoji="1" lang="en-US" altLang="ja-JP" sz="1500">
            <a:solidFill>
              <a:schemeClr val="tx1"/>
            </a:solidFill>
            <a:effectLst/>
            <a:latin typeface="+mn-lt"/>
            <a:ea typeface="+mn-ea"/>
            <a:cs typeface="+mn-cs"/>
          </a:endParaRPr>
        </a:p>
        <a:p>
          <a:pPr>
            <a:lnSpc>
              <a:spcPts val="1900"/>
            </a:lnSpc>
          </a:pPr>
          <a:endParaRPr kumimoji="1" lang="en-US" altLang="ja-JP" sz="1600">
            <a:solidFill>
              <a:schemeClr val="tx1"/>
            </a:solidFill>
            <a:effectLst/>
            <a:latin typeface="+mn-lt"/>
            <a:ea typeface="+mn-ea"/>
            <a:cs typeface="+mn-cs"/>
          </a:endParaRPr>
        </a:p>
        <a:p>
          <a:pPr>
            <a:lnSpc>
              <a:spcPts val="1900"/>
            </a:lnSpc>
          </a:pPr>
          <a:r>
            <a:rPr lang="ja-JP" altLang="en-US" sz="1600" b="1">
              <a:solidFill>
                <a:srgbClr val="FF0000"/>
              </a:solidFill>
              <a:effectLst/>
              <a:latin typeface="+mn-ea"/>
              <a:ea typeface="+mn-ea"/>
            </a:rPr>
            <a:t>（５）指導者研修費</a:t>
          </a:r>
          <a:endParaRPr lang="en-US" altLang="ja-JP" sz="1600" b="1">
            <a:solidFill>
              <a:srgbClr val="FF0000"/>
            </a:solidFill>
            <a:effectLst/>
            <a:latin typeface="+mn-ea"/>
            <a:ea typeface="+mn-ea"/>
          </a:endParaRPr>
        </a:p>
        <a:p>
          <a:pPr>
            <a:lnSpc>
              <a:spcPts val="1900"/>
            </a:lnSpc>
          </a:pPr>
          <a:r>
            <a:rPr lang="ja-JP" altLang="en-US" sz="1600" b="0">
              <a:solidFill>
                <a:sysClr val="windowText" lastClr="000000"/>
              </a:solidFill>
              <a:effectLst/>
              <a:latin typeface="+mn-ea"/>
              <a:ea typeface="+mn-ea"/>
            </a:rPr>
            <a:t>・年上限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円）を超える金額、マイナス金額、テキストを入力するとエラーが表示されます。</a:t>
          </a:r>
        </a:p>
        <a:p>
          <a:pPr>
            <a:lnSpc>
              <a:spcPts val="1900"/>
            </a:lnSpc>
          </a:pPr>
          <a:endParaRPr lang="ja-JP" altLang="en-US" sz="1600" b="0">
            <a:solidFill>
              <a:sysClr val="windowText" lastClr="000000"/>
            </a:solidFill>
            <a:effectLst/>
            <a:latin typeface="+mn-ea"/>
            <a:ea typeface="+mn-ea"/>
          </a:endParaRPr>
        </a:p>
        <a:p>
          <a:pPr>
            <a:lnSpc>
              <a:spcPts val="1900"/>
            </a:lnSpc>
          </a:pPr>
          <a:r>
            <a:rPr lang="ja-JP" altLang="en-US" sz="1600" b="0">
              <a:solidFill>
                <a:sysClr val="windowText" lastClr="000000"/>
              </a:solidFill>
              <a:effectLst/>
              <a:latin typeface="+mn-ea"/>
              <a:ea typeface="+mn-ea"/>
            </a:rPr>
            <a:t>・２年目の（１）～（５）合計額が年上限</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200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500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円）を超えた場合、または指導者研修費の合計額が年上限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円）」を超えた場合、正しい上限額に自動計算し、１年目の合計額と合算します。</a:t>
          </a:r>
        </a:p>
        <a:p>
          <a:pPr>
            <a:lnSpc>
              <a:spcPts val="1900"/>
            </a:lnSpc>
          </a:pPr>
          <a:endParaRPr lang="en-US" altLang="ja-JP" sz="1600" b="0">
            <a:solidFill>
              <a:sysClr val="windowText" lastClr="000000"/>
            </a:solidFill>
            <a:effectLst/>
            <a:latin typeface="+mn-ea"/>
            <a:ea typeface="+mn-ea"/>
          </a:endParaRPr>
        </a:p>
        <a:p>
          <a:pPr>
            <a:lnSpc>
              <a:spcPts val="1900"/>
            </a:lnSpc>
          </a:pPr>
          <a:endParaRPr lang="en-US" altLang="ja-JP" sz="1600" b="0">
            <a:solidFill>
              <a:sysClr val="windowText" lastClr="000000"/>
            </a:solidFill>
            <a:effectLst/>
            <a:latin typeface="+mn-ea"/>
            <a:ea typeface="+mn-ea"/>
          </a:endParaRPr>
        </a:p>
        <a:p>
          <a:pPr>
            <a:lnSpc>
              <a:spcPts val="1900"/>
            </a:lnSpc>
          </a:pPr>
          <a:r>
            <a:rPr lang="ja-JP" altLang="en-US" sz="1600" b="1">
              <a:solidFill>
                <a:srgbClr val="FF0000"/>
              </a:solidFill>
              <a:effectLst/>
            </a:rPr>
            <a:t>（６）語学研修費</a:t>
          </a:r>
          <a:endParaRPr lang="en-US" altLang="ja-JP" sz="1600" b="1">
            <a:solidFill>
              <a:srgbClr val="FF0000"/>
            </a:solidFill>
            <a:effectLst/>
          </a:endParaRPr>
        </a:p>
        <a:p>
          <a:pPr>
            <a:lnSpc>
              <a:spcPts val="1900"/>
            </a:lnSpc>
          </a:pPr>
          <a:r>
            <a:rPr lang="ja-JP" altLang="en-US" sz="1600" b="0">
              <a:solidFill>
                <a:sysClr val="windowText" lastClr="000000"/>
              </a:solidFill>
              <a:effectLst/>
            </a:rPr>
            <a:t>・月上限</a:t>
          </a:r>
          <a:r>
            <a:rPr lang="en-US" altLang="ja-JP" sz="1600" b="0">
              <a:solidFill>
                <a:sysClr val="windowText" lastClr="000000"/>
              </a:solidFill>
              <a:effectLst/>
            </a:rPr>
            <a:t>30</a:t>
          </a:r>
          <a:r>
            <a:rPr lang="ja-JP" altLang="en-US" sz="1600" b="0">
              <a:solidFill>
                <a:sysClr val="windowText" lastClr="000000"/>
              </a:solidFill>
              <a:effectLst/>
            </a:rPr>
            <a:t>，</a:t>
          </a:r>
          <a:r>
            <a:rPr lang="en-US" altLang="ja-JP" sz="1600" b="0">
              <a:solidFill>
                <a:sysClr val="windowText" lastClr="000000"/>
              </a:solidFill>
              <a:effectLst/>
            </a:rPr>
            <a:t>000</a:t>
          </a:r>
          <a:r>
            <a:rPr lang="ja-JP" altLang="en-US" sz="1600" b="0">
              <a:solidFill>
                <a:sysClr val="windowText" lastClr="000000"/>
              </a:solidFill>
              <a:effectLst/>
            </a:rPr>
            <a:t>円を超える金額、マイナス金額、テキストを入力するとエラーが表示されます。</a:t>
          </a: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ja-JP" altLang="en-US" sz="1600" b="0">
            <a:solidFill>
              <a:sysClr val="windowText" lastClr="000000"/>
            </a:solidFill>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88107" y="50798"/>
          <a:ext cx="2092325"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xdr:from>
      <xdr:col>2</xdr:col>
      <xdr:colOff>19050</xdr:colOff>
      <xdr:row>0</xdr:row>
      <xdr:rowOff>57150</xdr:rowOff>
    </xdr:from>
    <xdr:to>
      <xdr:col>8</xdr:col>
      <xdr:colOff>200221</xdr:colOff>
      <xdr:row>0</xdr:row>
      <xdr:rowOff>603836</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838450" y="57150"/>
          <a:ext cx="5762821"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editAs="oneCell">
    <xdr:from>
      <xdr:col>10</xdr:col>
      <xdr:colOff>228600</xdr:colOff>
      <xdr:row>1</xdr:row>
      <xdr:rowOff>0</xdr:rowOff>
    </xdr:from>
    <xdr:to>
      <xdr:col>10</xdr:col>
      <xdr:colOff>4556021</xdr:colOff>
      <xdr:row>33</xdr:row>
      <xdr:rowOff>114299</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9963150" y="723900"/>
          <a:ext cx="4327421" cy="8020049"/>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a:lnSpc>
              <a:spcPts val="1900"/>
            </a:lnSpc>
          </a:pPr>
          <a:r>
            <a:rPr kumimoji="1" lang="ja-JP" altLang="en-US" sz="1600" b="1">
              <a:solidFill>
                <a:srgbClr val="FF0000"/>
              </a:solidFill>
              <a:effectLst/>
              <a:latin typeface="+mn-lt"/>
              <a:ea typeface="+mn-ea"/>
              <a:cs typeface="+mn-cs"/>
            </a:rPr>
            <a:t>（１）教育研修助成金</a:t>
          </a:r>
          <a:endParaRPr kumimoji="1" lang="en-US" altLang="ja-JP" sz="1600" b="1">
            <a:solidFill>
              <a:srgbClr val="FF0000"/>
            </a:solidFill>
            <a:effectLst/>
            <a:latin typeface="+mn-lt"/>
            <a:ea typeface="+mn-ea"/>
            <a:cs typeface="+mn-cs"/>
          </a:endParaRPr>
        </a:p>
        <a:p>
          <a:pPr>
            <a:lnSpc>
              <a:spcPts val="1900"/>
            </a:lnSpc>
          </a:pPr>
          <a:r>
            <a:rPr kumimoji="1" lang="ja-JP" altLang="en-US" sz="1600" b="1">
              <a:solidFill>
                <a:srgbClr val="FF0000"/>
              </a:solidFill>
              <a:effectLst/>
              <a:latin typeface="+mn-lt"/>
              <a:ea typeface="+mn-ea"/>
              <a:cs typeface="+mn-cs"/>
            </a:rPr>
            <a:t>（２）外部講師等謝金</a:t>
          </a:r>
        </a:p>
        <a:p>
          <a:pPr>
            <a:lnSpc>
              <a:spcPts val="1900"/>
            </a:lnSpc>
          </a:pPr>
          <a:r>
            <a:rPr kumimoji="1" lang="ja-JP" altLang="en-US" sz="1600" b="1">
              <a:solidFill>
                <a:srgbClr val="FF0000"/>
              </a:solidFill>
              <a:effectLst/>
              <a:latin typeface="+mn-lt"/>
              <a:ea typeface="+mn-ea"/>
              <a:cs typeface="+mn-cs"/>
            </a:rPr>
            <a:t>（３）旅　　費</a:t>
          </a:r>
        </a:p>
        <a:p>
          <a:pPr>
            <a:lnSpc>
              <a:spcPts val="1900"/>
            </a:lnSpc>
          </a:pPr>
          <a:r>
            <a:rPr kumimoji="1" lang="ja-JP" altLang="en-US" sz="1600" b="1">
              <a:solidFill>
                <a:srgbClr val="FF0000"/>
              </a:solidFill>
              <a:effectLst/>
              <a:latin typeface="+mn-lt"/>
              <a:ea typeface="+mn-ea"/>
              <a:cs typeface="+mn-cs"/>
            </a:rPr>
            <a:t>（４）労災保険料、雇用保険料</a:t>
          </a:r>
          <a:endParaRPr kumimoji="1" lang="en-US" altLang="ja-JP" sz="1600" b="1">
            <a:solidFill>
              <a:srgbClr val="FF0000"/>
            </a:solidFill>
            <a:effectLst/>
            <a:latin typeface="+mn-lt"/>
            <a:ea typeface="+mn-ea"/>
            <a:cs typeface="+mn-cs"/>
          </a:endParaRPr>
        </a:p>
        <a:p>
          <a:pPr>
            <a:lnSpc>
              <a:spcPts val="1900"/>
            </a:lnSpc>
          </a:pPr>
          <a:endParaRPr kumimoji="1" lang="en-US" altLang="ja-JP" sz="1600" b="1">
            <a:solidFill>
              <a:srgbClr val="FF0000"/>
            </a:solidFill>
            <a:effectLst/>
            <a:latin typeface="+mn-lt"/>
            <a:ea typeface="+mn-ea"/>
            <a:cs typeface="+mn-cs"/>
          </a:endParaRPr>
        </a:p>
        <a:p>
          <a:pPr>
            <a:lnSpc>
              <a:spcPts val="1900"/>
            </a:lnSpc>
          </a:pPr>
          <a:r>
            <a:rPr kumimoji="1" lang="ja-JP" altLang="en-US" sz="1600">
              <a:solidFill>
                <a:schemeClr val="tx1"/>
              </a:solidFill>
              <a:effectLst/>
              <a:latin typeface="+mn-ea"/>
              <a:ea typeface="+mn-ea"/>
              <a:cs typeface="+mn-cs"/>
            </a:rPr>
            <a:t>・上記の各科目ごとに月上限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円）を超える金額、マイナス金額、テキストを入力するとエラーが表示されます。</a:t>
          </a:r>
        </a:p>
        <a:p>
          <a:pPr>
            <a:lnSpc>
              <a:spcPts val="1900"/>
            </a:lnSpc>
          </a:pPr>
          <a:endParaRPr kumimoji="1" lang="ja-JP" altLang="en-US" sz="1600">
            <a:solidFill>
              <a:schemeClr val="tx1"/>
            </a:solidFill>
            <a:effectLst/>
            <a:latin typeface="+mn-ea"/>
            <a:ea typeface="+mn-ea"/>
            <a:cs typeface="+mn-cs"/>
          </a:endParaRPr>
        </a:p>
        <a:p>
          <a:pPr>
            <a:lnSpc>
              <a:spcPts val="1900"/>
            </a:lnSpc>
          </a:pPr>
          <a:r>
            <a:rPr kumimoji="1" lang="ja-JP" altLang="en-US" sz="1600">
              <a:solidFill>
                <a:schemeClr val="tx1"/>
              </a:solidFill>
              <a:effectLst/>
              <a:latin typeface="+mn-ea"/>
              <a:ea typeface="+mn-ea"/>
              <a:cs typeface="+mn-cs"/>
            </a:rPr>
            <a:t>・（１）～（４）の入力合計額が、月上限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円）より超えた場合は、「（１）～（４）計」は月上限額に自動計算されます。</a:t>
          </a:r>
        </a:p>
        <a:p>
          <a:pPr>
            <a:lnSpc>
              <a:spcPts val="1900"/>
            </a:lnSpc>
          </a:pPr>
          <a:endParaRPr kumimoji="1" lang="en-US" altLang="ja-JP" sz="1500">
            <a:solidFill>
              <a:schemeClr val="tx1"/>
            </a:solidFill>
            <a:effectLst/>
            <a:latin typeface="+mn-lt"/>
            <a:ea typeface="+mn-ea"/>
            <a:cs typeface="+mn-cs"/>
          </a:endParaRPr>
        </a:p>
        <a:p>
          <a:pPr>
            <a:lnSpc>
              <a:spcPts val="1900"/>
            </a:lnSpc>
          </a:pPr>
          <a:endParaRPr kumimoji="1" lang="en-US" altLang="ja-JP" sz="1600">
            <a:solidFill>
              <a:schemeClr val="tx1"/>
            </a:solidFill>
            <a:effectLst/>
            <a:latin typeface="+mn-lt"/>
            <a:ea typeface="+mn-ea"/>
            <a:cs typeface="+mn-cs"/>
          </a:endParaRPr>
        </a:p>
        <a:p>
          <a:pPr>
            <a:lnSpc>
              <a:spcPts val="1900"/>
            </a:lnSpc>
          </a:pPr>
          <a:r>
            <a:rPr lang="ja-JP" altLang="en-US" sz="1600" b="1">
              <a:solidFill>
                <a:srgbClr val="FF0000"/>
              </a:solidFill>
              <a:effectLst/>
              <a:latin typeface="+mn-ea"/>
              <a:ea typeface="+mn-ea"/>
            </a:rPr>
            <a:t>（５）指導者研修費</a:t>
          </a:r>
          <a:endParaRPr lang="en-US" altLang="ja-JP" sz="1600" b="1">
            <a:solidFill>
              <a:srgbClr val="FF0000"/>
            </a:solidFill>
            <a:effectLst/>
            <a:latin typeface="+mn-ea"/>
            <a:ea typeface="+mn-ea"/>
          </a:endParaRPr>
        </a:p>
        <a:p>
          <a:pPr>
            <a:lnSpc>
              <a:spcPts val="1900"/>
            </a:lnSpc>
          </a:pPr>
          <a:r>
            <a:rPr lang="ja-JP" altLang="en-US" sz="1600" b="0">
              <a:solidFill>
                <a:sysClr val="windowText" lastClr="000000"/>
              </a:solidFill>
              <a:effectLst/>
              <a:latin typeface="+mn-ea"/>
              <a:ea typeface="+mn-ea"/>
            </a:rPr>
            <a:t>・年上限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円）を超える金額、マイナス金額、テキストを入力するとエラーが表示されます。</a:t>
          </a:r>
        </a:p>
        <a:p>
          <a:pPr>
            <a:lnSpc>
              <a:spcPts val="1900"/>
            </a:lnSpc>
          </a:pPr>
          <a:endParaRPr lang="ja-JP" altLang="en-US" sz="1600" b="0">
            <a:solidFill>
              <a:sysClr val="windowText" lastClr="000000"/>
            </a:solidFill>
            <a:effectLst/>
            <a:latin typeface="+mn-ea"/>
            <a:ea typeface="+mn-ea"/>
          </a:endParaRPr>
        </a:p>
        <a:p>
          <a:pPr>
            <a:lnSpc>
              <a:spcPts val="1900"/>
            </a:lnSpc>
          </a:pPr>
          <a:r>
            <a:rPr lang="ja-JP" altLang="en-US" sz="1600" b="0">
              <a:solidFill>
                <a:sysClr val="windowText" lastClr="000000"/>
              </a:solidFill>
              <a:effectLst/>
              <a:latin typeface="+mn-ea"/>
              <a:ea typeface="+mn-ea"/>
            </a:rPr>
            <a:t>・２年目の（１）～（５）合計額が年上限</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200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500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円）を超えた場合、または指導者研修費の合計額が年上限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円）」を超えた場合、正しい上限額に自動計算し、１年目の合計額と合算します。</a:t>
          </a:r>
        </a:p>
        <a:p>
          <a:pPr>
            <a:lnSpc>
              <a:spcPts val="1900"/>
            </a:lnSpc>
          </a:pPr>
          <a:endParaRPr lang="en-US" altLang="ja-JP" sz="1600" b="0">
            <a:solidFill>
              <a:sysClr val="windowText" lastClr="000000"/>
            </a:solidFill>
            <a:effectLst/>
            <a:latin typeface="+mn-ea"/>
            <a:ea typeface="+mn-ea"/>
          </a:endParaRPr>
        </a:p>
        <a:p>
          <a:pPr>
            <a:lnSpc>
              <a:spcPts val="1900"/>
            </a:lnSpc>
          </a:pPr>
          <a:endParaRPr lang="en-US" altLang="ja-JP" sz="1600" b="0">
            <a:solidFill>
              <a:sysClr val="windowText" lastClr="000000"/>
            </a:solidFill>
            <a:effectLst/>
            <a:latin typeface="+mn-ea"/>
            <a:ea typeface="+mn-ea"/>
          </a:endParaRPr>
        </a:p>
        <a:p>
          <a:pPr>
            <a:lnSpc>
              <a:spcPts val="1900"/>
            </a:lnSpc>
          </a:pPr>
          <a:r>
            <a:rPr lang="ja-JP" altLang="en-US" sz="1600" b="1">
              <a:solidFill>
                <a:srgbClr val="FF0000"/>
              </a:solidFill>
              <a:effectLst/>
            </a:rPr>
            <a:t>（６）語学研修費</a:t>
          </a:r>
          <a:endParaRPr lang="en-US" altLang="ja-JP" sz="1600" b="1">
            <a:solidFill>
              <a:srgbClr val="FF0000"/>
            </a:solidFill>
            <a:effectLst/>
          </a:endParaRPr>
        </a:p>
        <a:p>
          <a:pPr>
            <a:lnSpc>
              <a:spcPts val="1900"/>
            </a:lnSpc>
          </a:pPr>
          <a:r>
            <a:rPr lang="ja-JP" altLang="en-US" sz="1600" b="0">
              <a:solidFill>
                <a:sysClr val="windowText" lastClr="000000"/>
              </a:solidFill>
              <a:effectLst/>
            </a:rPr>
            <a:t>・月上限</a:t>
          </a:r>
          <a:r>
            <a:rPr lang="en-US" altLang="ja-JP" sz="1600" b="0">
              <a:solidFill>
                <a:sysClr val="windowText" lastClr="000000"/>
              </a:solidFill>
              <a:effectLst/>
            </a:rPr>
            <a:t>30</a:t>
          </a:r>
          <a:r>
            <a:rPr lang="ja-JP" altLang="en-US" sz="1600" b="0">
              <a:solidFill>
                <a:sysClr val="windowText" lastClr="000000"/>
              </a:solidFill>
              <a:effectLst/>
            </a:rPr>
            <a:t>，</a:t>
          </a:r>
          <a:r>
            <a:rPr lang="en-US" altLang="ja-JP" sz="1600" b="0">
              <a:solidFill>
                <a:sysClr val="windowText" lastClr="000000"/>
              </a:solidFill>
              <a:effectLst/>
            </a:rPr>
            <a:t>000</a:t>
          </a:r>
          <a:r>
            <a:rPr lang="ja-JP" altLang="en-US" sz="1600" b="0">
              <a:solidFill>
                <a:sysClr val="windowText" lastClr="000000"/>
              </a:solidFill>
              <a:effectLst/>
            </a:rPr>
            <a:t>円を超える金額、マイナス金額、テキストを入力するとエラーが表示されます。</a:t>
          </a: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ja-JP" altLang="en-US" sz="1600" b="0">
            <a:solidFill>
              <a:sysClr val="windowText" lastClr="000000"/>
            </a:solidFill>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T48"/>
  <sheetViews>
    <sheetView showGridLines="0" tabSelected="1" view="pageBreakPreview" zoomScale="65" zoomScaleNormal="70" zoomScaleSheetLayoutView="65" workbookViewId="0">
      <selection activeCell="G10" sqref="G10:O10"/>
    </sheetView>
  </sheetViews>
  <sheetFormatPr defaultRowHeight="13.5" x14ac:dyDescent="0.15"/>
  <cols>
    <col min="1" max="1" width="3.75" style="3" customWidth="1"/>
    <col min="2" max="2" width="6.625" style="6"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7.625" style="3" customWidth="1"/>
    <col min="10" max="10" width="7.375" style="3" customWidth="1"/>
    <col min="11" max="11" width="4.75" style="3" customWidth="1"/>
    <col min="12" max="13" width="3.75" style="3" customWidth="1"/>
    <col min="14" max="16" width="3.625" style="3" customWidth="1"/>
    <col min="17" max="17" width="3.25" style="12" hidden="1" customWidth="1"/>
    <col min="18" max="18" width="4.25" style="12" customWidth="1"/>
    <col min="19" max="19" width="25.5" style="12" customWidth="1"/>
    <col min="20" max="21" width="19.625" style="12" customWidth="1"/>
    <col min="22" max="22" width="3.375" style="70" customWidth="1"/>
    <col min="23" max="23" width="5.5" style="12" hidden="1" customWidth="1"/>
    <col min="24" max="24" width="4.625" style="12" hidden="1" customWidth="1"/>
    <col min="25" max="25" width="4.375" style="12" hidden="1" customWidth="1"/>
    <col min="26" max="26" width="7" style="12" hidden="1" customWidth="1"/>
    <col min="27" max="27" width="9.625" style="12" hidden="1" customWidth="1"/>
    <col min="28" max="28" width="20.625" style="12" customWidth="1"/>
    <col min="29" max="29" width="17.875" style="12" customWidth="1"/>
    <col min="30" max="45" width="9" style="12" customWidth="1"/>
    <col min="46" max="46" width="9" style="12"/>
    <col min="47" max="16384" width="9" style="3"/>
  </cols>
  <sheetData>
    <row r="1" spans="1:37" ht="14.25" customHeight="1" thickTop="1" thickBot="1" x14ac:dyDescent="0.5">
      <c r="B1" s="327"/>
      <c r="C1" s="327"/>
      <c r="D1" s="327"/>
      <c r="E1" s="4"/>
      <c r="S1" s="69"/>
      <c r="W1" s="192" t="s">
        <v>76</v>
      </c>
      <c r="X1" s="133"/>
      <c r="Y1" s="134"/>
      <c r="Z1" s="73"/>
      <c r="AK1" s="69"/>
    </row>
    <row r="2" spans="1:37" ht="39" customHeight="1" thickTop="1" thickBot="1" x14ac:dyDescent="0.2">
      <c r="B2" s="17"/>
      <c r="C2" s="17"/>
      <c r="D2" s="17"/>
      <c r="E2" s="5"/>
      <c r="S2" s="69"/>
      <c r="W2" s="367" t="s">
        <v>107</v>
      </c>
      <c r="X2" s="368"/>
      <c r="Y2" s="369"/>
      <c r="Z2" s="126" t="s">
        <v>79</v>
      </c>
      <c r="AK2" s="69"/>
    </row>
    <row r="3" spans="1:37" ht="31.5" customHeight="1" thickTop="1" x14ac:dyDescent="0.45">
      <c r="A3" s="59" t="s">
        <v>84</v>
      </c>
      <c r="B3" s="7"/>
      <c r="C3" s="59"/>
      <c r="D3" s="7"/>
      <c r="E3" s="7"/>
      <c r="F3" s="7"/>
      <c r="G3" s="7"/>
      <c r="H3" s="7"/>
      <c r="J3" s="7"/>
      <c r="K3" s="7"/>
      <c r="L3" s="189" t="str">
        <f>W2</f>
        <v>令和3年6月研修開始</v>
      </c>
      <c r="M3" s="206"/>
      <c r="N3" s="206"/>
      <c r="O3" s="206"/>
      <c r="P3" s="206"/>
      <c r="Q3" s="207" t="b">
        <v>0</v>
      </c>
      <c r="R3" s="197"/>
      <c r="V3" s="96"/>
      <c r="X3" s="74"/>
      <c r="Y3" s="129"/>
    </row>
    <row r="4" spans="1:37" ht="22.5" customHeight="1" x14ac:dyDescent="0.3">
      <c r="A4" s="7"/>
      <c r="B4" s="52"/>
      <c r="C4" s="374" t="s">
        <v>82</v>
      </c>
      <c r="D4" s="374"/>
      <c r="E4" s="374"/>
      <c r="F4" s="374"/>
      <c r="G4" s="374"/>
      <c r="H4" s="374"/>
      <c r="I4" s="374"/>
      <c r="J4" s="374"/>
      <c r="K4" s="374"/>
      <c r="L4" s="374"/>
      <c r="M4" s="44"/>
      <c r="N4" s="44"/>
      <c r="O4" s="7"/>
      <c r="P4" s="53"/>
      <c r="S4" s="370" t="s">
        <v>50</v>
      </c>
      <c r="T4" s="370"/>
      <c r="U4" s="370"/>
      <c r="V4" s="96"/>
      <c r="W4" s="127"/>
      <c r="X4" s="128" t="s">
        <v>81</v>
      </c>
      <c r="Y4" s="131" t="s">
        <v>80</v>
      </c>
      <c r="Z4" s="130"/>
    </row>
    <row r="5" spans="1:37" ht="12" customHeight="1" x14ac:dyDescent="0.3">
      <c r="A5" s="7"/>
      <c r="B5" s="54"/>
      <c r="C5" s="55"/>
      <c r="D5" s="7"/>
      <c r="E5" s="7"/>
      <c r="F5" s="7"/>
      <c r="G5" s="7"/>
      <c r="H5" s="7"/>
      <c r="I5" s="7"/>
      <c r="J5" s="7"/>
      <c r="K5" s="7"/>
      <c r="L5" s="7"/>
      <c r="M5" s="7"/>
      <c r="N5" s="7"/>
      <c r="O5" s="7"/>
      <c r="P5" s="7"/>
      <c r="S5" s="370"/>
      <c r="T5" s="370"/>
      <c r="U5" s="370"/>
      <c r="V5" s="96"/>
      <c r="W5" s="127"/>
      <c r="X5" s="128" t="s">
        <v>81</v>
      </c>
      <c r="Y5" s="131" t="s">
        <v>107</v>
      </c>
      <c r="Z5" s="132"/>
    </row>
    <row r="6" spans="1:37" ht="24.75" customHeight="1" x14ac:dyDescent="0.3">
      <c r="A6" s="7"/>
      <c r="B6" s="7"/>
      <c r="C6" s="7"/>
      <c r="D6" s="56" t="s">
        <v>24</v>
      </c>
      <c r="E6" s="186">
        <f>T10</f>
        <v>44652</v>
      </c>
      <c r="F6" s="57" t="s">
        <v>5</v>
      </c>
      <c r="G6" s="328">
        <f>EOMONTH(T10,W10-1)</f>
        <v>45077</v>
      </c>
      <c r="H6" s="328"/>
      <c r="I6" s="328"/>
      <c r="J6" s="57" t="s">
        <v>23</v>
      </c>
      <c r="K6" s="57"/>
      <c r="L6" s="57"/>
      <c r="M6" s="57"/>
      <c r="N6" s="57"/>
      <c r="O6" s="7"/>
      <c r="P6" s="7"/>
      <c r="S6" s="370"/>
      <c r="T6" s="370"/>
      <c r="U6" s="370"/>
      <c r="W6" s="127"/>
      <c r="X6" s="128" t="s">
        <v>81</v>
      </c>
      <c r="Y6" s="131" t="s">
        <v>108</v>
      </c>
      <c r="Z6" s="132"/>
      <c r="AA6" s="187"/>
      <c r="AB6" s="187"/>
    </row>
    <row r="7" spans="1:37" ht="21" customHeight="1" x14ac:dyDescent="0.25">
      <c r="A7" s="7"/>
      <c r="B7" s="52"/>
      <c r="C7" s="7"/>
      <c r="D7" s="7"/>
      <c r="E7" s="7"/>
      <c r="F7" s="7"/>
      <c r="G7" s="7"/>
      <c r="H7" s="7"/>
      <c r="I7" s="7"/>
      <c r="J7" s="373"/>
      <c r="K7" s="373"/>
      <c r="L7" s="58" t="s">
        <v>33</v>
      </c>
      <c r="M7" s="82"/>
      <c r="N7" s="58" t="s">
        <v>34</v>
      </c>
      <c r="O7" s="82"/>
      <c r="P7" s="58" t="s">
        <v>35</v>
      </c>
      <c r="S7" s="70"/>
      <c r="T7" s="70"/>
      <c r="U7" s="70"/>
      <c r="AA7" s="187"/>
      <c r="AB7" s="188"/>
    </row>
    <row r="8" spans="1:37" ht="17.25" thickBot="1" x14ac:dyDescent="0.3">
      <c r="A8" s="7"/>
      <c r="B8" s="59" t="s">
        <v>59</v>
      </c>
      <c r="C8" s="60"/>
      <c r="D8" s="7"/>
      <c r="E8" s="7"/>
      <c r="F8" s="7"/>
      <c r="G8" s="7"/>
      <c r="H8" s="7"/>
      <c r="I8" s="7"/>
      <c r="J8" s="7"/>
      <c r="K8" s="7"/>
      <c r="L8" s="7"/>
      <c r="M8" s="7"/>
      <c r="N8" s="7"/>
      <c r="O8" s="7"/>
      <c r="P8" s="7"/>
      <c r="AB8" s="84"/>
    </row>
    <row r="9" spans="1:37" ht="17.25" thickBot="1" x14ac:dyDescent="0.3">
      <c r="A9" s="7"/>
      <c r="B9" s="59"/>
      <c r="C9" s="60"/>
      <c r="D9" s="7"/>
      <c r="E9" s="7"/>
      <c r="F9" s="7"/>
      <c r="G9" s="7"/>
      <c r="H9" s="7"/>
      <c r="I9" s="7"/>
      <c r="J9" s="7"/>
      <c r="K9" s="7"/>
      <c r="L9" s="7"/>
      <c r="M9" s="7"/>
      <c r="N9" s="7"/>
      <c r="O9" s="7"/>
      <c r="P9" s="7"/>
      <c r="S9" s="92" t="s">
        <v>55</v>
      </c>
      <c r="T9" s="105" t="s">
        <v>94</v>
      </c>
      <c r="U9" s="212" t="s">
        <v>56</v>
      </c>
      <c r="V9" s="198"/>
      <c r="W9" s="75" t="s">
        <v>51</v>
      </c>
      <c r="X9" s="240"/>
      <c r="Y9" s="241"/>
      <c r="Z9" s="288" t="s">
        <v>93</v>
      </c>
      <c r="AA9" s="289"/>
      <c r="AB9" s="84"/>
    </row>
    <row r="10" spans="1:37" ht="29.25" customHeight="1" thickBot="1" x14ac:dyDescent="0.3">
      <c r="A10" s="7"/>
      <c r="B10" s="52"/>
      <c r="C10" s="7"/>
      <c r="D10" s="7"/>
      <c r="E10" s="43"/>
      <c r="F10" s="61" t="s">
        <v>74</v>
      </c>
      <c r="G10" s="340"/>
      <c r="H10" s="340"/>
      <c r="I10" s="340"/>
      <c r="J10" s="340"/>
      <c r="K10" s="340"/>
      <c r="L10" s="340"/>
      <c r="M10" s="340"/>
      <c r="N10" s="340"/>
      <c r="O10" s="340"/>
      <c r="P10" s="13"/>
      <c r="S10" s="213" t="s">
        <v>86</v>
      </c>
      <c r="T10" s="250">
        <v>44652</v>
      </c>
      <c r="U10" s="251">
        <f>EOMONTH(T10,W10-1)</f>
        <v>45077</v>
      </c>
      <c r="V10" s="106"/>
      <c r="W10" s="243">
        <f>24-DATEDIF(Z10,T10,"M")</f>
        <v>14</v>
      </c>
      <c r="X10" s="216">
        <f>QUOTIENT(W10,4)</f>
        <v>3</v>
      </c>
      <c r="Y10" s="220">
        <f>MOD(W10,4)</f>
        <v>2</v>
      </c>
      <c r="Z10" s="290">
        <v>44348</v>
      </c>
      <c r="AA10" s="291"/>
      <c r="AB10" s="84"/>
    </row>
    <row r="11" spans="1:37" ht="21" customHeight="1" x14ac:dyDescent="0.25">
      <c r="A11" s="7"/>
      <c r="B11" s="52"/>
      <c r="C11" s="7"/>
      <c r="D11" s="7"/>
      <c r="E11" s="43"/>
      <c r="F11" s="61"/>
      <c r="G11" s="1" t="s">
        <v>47</v>
      </c>
      <c r="H11" s="81"/>
      <c r="I11" s="2"/>
      <c r="J11" s="2"/>
      <c r="K11" s="2"/>
      <c r="L11" s="2"/>
      <c r="M11" s="2"/>
      <c r="N11" s="2"/>
      <c r="O11" s="2"/>
      <c r="P11" s="47"/>
      <c r="S11" s="214"/>
      <c r="T11" s="215"/>
      <c r="U11" s="215"/>
      <c r="V11" s="85"/>
      <c r="W11" s="3"/>
      <c r="X11" s="3"/>
      <c r="Y11" s="3"/>
      <c r="Z11" s="3"/>
      <c r="AB11" s="84"/>
    </row>
    <row r="12" spans="1:37" ht="29.25" customHeight="1" x14ac:dyDescent="0.25">
      <c r="A12" s="7"/>
      <c r="B12" s="52"/>
      <c r="C12" s="7"/>
      <c r="D12" s="7"/>
      <c r="E12" s="7"/>
      <c r="F12" s="61" t="s">
        <v>14</v>
      </c>
      <c r="G12" s="371"/>
      <c r="H12" s="371"/>
      <c r="I12" s="371"/>
      <c r="J12" s="371"/>
      <c r="K12" s="371"/>
      <c r="L12" s="371"/>
      <c r="M12" s="371"/>
      <c r="N12" s="371"/>
      <c r="O12" s="371"/>
      <c r="P12" s="48"/>
      <c r="S12" s="302" t="s">
        <v>100</v>
      </c>
      <c r="T12" s="302"/>
      <c r="U12" s="302"/>
      <c r="V12" s="85"/>
      <c r="W12" s="3"/>
      <c r="X12" s="3"/>
      <c r="Y12" s="3"/>
      <c r="Z12" s="3"/>
      <c r="AB12" s="84"/>
    </row>
    <row r="13" spans="1:37" ht="29.25" customHeight="1" x14ac:dyDescent="0.25">
      <c r="A13" s="7"/>
      <c r="B13" s="52"/>
      <c r="C13" s="7"/>
      <c r="D13" s="7"/>
      <c r="E13" s="43"/>
      <c r="F13" s="61" t="s">
        <v>75</v>
      </c>
      <c r="G13" s="372"/>
      <c r="H13" s="372"/>
      <c r="I13" s="372"/>
      <c r="J13" s="372"/>
      <c r="K13" s="372"/>
      <c r="L13" s="372"/>
      <c r="M13" s="372"/>
      <c r="N13" s="372"/>
      <c r="O13" s="372"/>
      <c r="P13" s="16"/>
      <c r="S13" s="71" t="s">
        <v>48</v>
      </c>
      <c r="T13" s="72" t="s">
        <v>41</v>
      </c>
      <c r="U13" s="72" t="s">
        <v>42</v>
      </c>
      <c r="V13" s="85"/>
      <c r="W13" s="221" t="s">
        <v>51</v>
      </c>
      <c r="X13" s="307" t="s">
        <v>91</v>
      </c>
      <c r="Y13" s="307"/>
      <c r="Z13" s="193"/>
      <c r="AB13" s="84"/>
    </row>
    <row r="14" spans="1:37" ht="25.5" customHeight="1" x14ac:dyDescent="0.25">
      <c r="A14" s="7"/>
      <c r="B14" s="59"/>
      <c r="C14" s="60"/>
      <c r="D14" s="7"/>
      <c r="E14" s="7"/>
      <c r="F14" s="7"/>
      <c r="G14" s="7"/>
      <c r="H14" s="7"/>
      <c r="I14" s="7"/>
      <c r="J14" s="7"/>
      <c r="K14" s="7"/>
      <c r="L14" s="7"/>
      <c r="M14" s="7"/>
      <c r="N14" s="7"/>
      <c r="O14" s="7"/>
      <c r="P14" s="7"/>
      <c r="S14" s="252" t="str">
        <f>"16号-2"&amp;X14</f>
        <v>16号-2①</v>
      </c>
      <c r="T14" s="253">
        <f>T10</f>
        <v>44652</v>
      </c>
      <c r="U14" s="253">
        <f>IF(T14="","",EOMONTH(T14,$W14-1))</f>
        <v>44773</v>
      </c>
      <c r="V14" s="208"/>
      <c r="W14" s="191" t="str">
        <f>IF($X$10&gt;=Z14,"4",$Y$10)</f>
        <v>4</v>
      </c>
      <c r="X14" s="303" t="s">
        <v>87</v>
      </c>
      <c r="Y14" s="304"/>
      <c r="Z14" s="193">
        <v>1</v>
      </c>
      <c r="AB14" s="84"/>
    </row>
    <row r="15" spans="1:37" ht="25.5" customHeight="1" x14ac:dyDescent="0.25">
      <c r="A15" s="7"/>
      <c r="B15" s="379" t="s">
        <v>109</v>
      </c>
      <c r="C15" s="379"/>
      <c r="D15" s="379"/>
      <c r="E15" s="379"/>
      <c r="F15" s="379"/>
      <c r="G15" s="379"/>
      <c r="H15" s="379"/>
      <c r="I15" s="379"/>
      <c r="J15" s="379"/>
      <c r="K15" s="379"/>
      <c r="L15" s="379"/>
      <c r="M15" s="379"/>
      <c r="N15" s="379"/>
      <c r="O15" s="379"/>
      <c r="P15" s="7"/>
      <c r="S15" s="252" t="str">
        <f>"16号-2"&amp;X15</f>
        <v>16号-2②</v>
      </c>
      <c r="T15" s="253">
        <f>IF(U14="","",U14+1)</f>
        <v>44774</v>
      </c>
      <c r="U15" s="253">
        <f>IF(T15="","",EOMONTH(T15,$W15-1))</f>
        <v>44895</v>
      </c>
      <c r="V15" s="208"/>
      <c r="W15" s="191" t="str">
        <f>IF($X$10&gt;=Z15,"4",$Y$10)</f>
        <v>4</v>
      </c>
      <c r="X15" s="303" t="s">
        <v>88</v>
      </c>
      <c r="Y15" s="304"/>
      <c r="Z15" s="193">
        <v>2</v>
      </c>
      <c r="AB15" s="84"/>
    </row>
    <row r="16" spans="1:37" ht="25.5" customHeight="1" x14ac:dyDescent="0.25">
      <c r="A16" s="7"/>
      <c r="B16" s="379"/>
      <c r="C16" s="379"/>
      <c r="D16" s="379"/>
      <c r="E16" s="379"/>
      <c r="F16" s="379"/>
      <c r="G16" s="379"/>
      <c r="H16" s="379"/>
      <c r="I16" s="379"/>
      <c r="J16" s="379"/>
      <c r="K16" s="379"/>
      <c r="L16" s="379"/>
      <c r="M16" s="379"/>
      <c r="N16" s="379"/>
      <c r="O16" s="379"/>
      <c r="P16" s="7"/>
      <c r="S16" s="252" t="str">
        <f>"16号-2"&amp;X16</f>
        <v>16号-2③</v>
      </c>
      <c r="T16" s="253">
        <f>IF(U15="","",U15+1)</f>
        <v>44896</v>
      </c>
      <c r="U16" s="253">
        <f>IF(T16="","",EOMONTH(T16,$W16-1))</f>
        <v>45016</v>
      </c>
      <c r="V16" s="208"/>
      <c r="W16" s="191" t="str">
        <f>IF($X$10&gt;=Z16,"4",$Y$10)</f>
        <v>4</v>
      </c>
      <c r="X16" s="303" t="s">
        <v>89</v>
      </c>
      <c r="Y16" s="304"/>
      <c r="Z16" s="193">
        <v>3</v>
      </c>
      <c r="AB16" s="84"/>
    </row>
    <row r="17" spans="1:46" ht="25.5" customHeight="1" x14ac:dyDescent="0.15">
      <c r="A17" s="7"/>
      <c r="B17" s="379"/>
      <c r="C17" s="379"/>
      <c r="D17" s="379"/>
      <c r="E17" s="379"/>
      <c r="F17" s="379"/>
      <c r="G17" s="379"/>
      <c r="H17" s="379"/>
      <c r="I17" s="379"/>
      <c r="J17" s="379"/>
      <c r="K17" s="379"/>
      <c r="L17" s="379"/>
      <c r="M17" s="379"/>
      <c r="N17" s="379"/>
      <c r="O17" s="379"/>
      <c r="P17" s="7"/>
      <c r="S17" s="252" t="str">
        <f>IF(W17="","","16号-2"&amp;X17)</f>
        <v>16号-2④</v>
      </c>
      <c r="T17" s="253">
        <f>IF(W17="","",IF(U16="","",U16+1))</f>
        <v>45017</v>
      </c>
      <c r="U17" s="253">
        <f>IF(T17="","",EOMONTH(T17,$W17-1))</f>
        <v>45077</v>
      </c>
      <c r="V17" s="209"/>
      <c r="W17" s="191">
        <f>IF($Z$17-$X$10&lt;2,IF($X$10&gt;=Z17,"4",$Y$10),"")</f>
        <v>2</v>
      </c>
      <c r="X17" s="303" t="s">
        <v>90</v>
      </c>
      <c r="Y17" s="304"/>
      <c r="Z17" s="193">
        <v>4</v>
      </c>
    </row>
    <row r="18" spans="1:46" ht="27.75" customHeight="1" thickBot="1" x14ac:dyDescent="0.2">
      <c r="A18" s="68" t="s">
        <v>15</v>
      </c>
      <c r="B18" s="62"/>
      <c r="C18" s="63"/>
      <c r="D18" s="62"/>
      <c r="E18" s="62"/>
      <c r="F18" s="62"/>
      <c r="G18" s="62"/>
      <c r="H18" s="62"/>
      <c r="I18" s="62"/>
      <c r="J18" s="62"/>
      <c r="K18" s="62"/>
      <c r="L18" s="62"/>
      <c r="M18" s="62"/>
      <c r="N18" s="62"/>
      <c r="O18" s="62"/>
      <c r="P18" s="62"/>
      <c r="S18" s="281"/>
      <c r="T18" s="282"/>
      <c r="U18" s="282"/>
      <c r="W18" s="283"/>
      <c r="X18" s="305"/>
      <c r="Y18" s="305"/>
      <c r="Z18" s="193"/>
    </row>
    <row r="19" spans="1:46" ht="26.25" customHeight="1" x14ac:dyDescent="0.15">
      <c r="A19" s="7"/>
      <c r="B19" s="331" t="s">
        <v>73</v>
      </c>
      <c r="C19" s="332"/>
      <c r="D19" s="333"/>
      <c r="E19" s="337"/>
      <c r="F19" s="338"/>
      <c r="G19" s="338"/>
      <c r="H19" s="338"/>
      <c r="I19" s="338"/>
      <c r="J19" s="338"/>
      <c r="K19" s="338"/>
      <c r="L19" s="338"/>
      <c r="M19" s="338"/>
      <c r="N19" s="338"/>
      <c r="O19" s="339"/>
      <c r="P19" s="7"/>
      <c r="S19" s="284"/>
      <c r="T19" s="285"/>
      <c r="U19" s="285"/>
      <c r="W19" s="217"/>
      <c r="X19" s="306"/>
      <c r="Y19" s="306"/>
      <c r="Z19" s="193"/>
    </row>
    <row r="20" spans="1:46" ht="26.25" customHeight="1" thickBot="1" x14ac:dyDescent="0.2">
      <c r="A20" s="7"/>
      <c r="B20" s="346" t="s">
        <v>7</v>
      </c>
      <c r="C20" s="347"/>
      <c r="D20" s="348"/>
      <c r="E20" s="343"/>
      <c r="F20" s="344"/>
      <c r="G20" s="344"/>
      <c r="H20" s="344"/>
      <c r="I20" s="344"/>
      <c r="J20" s="344"/>
      <c r="K20" s="344"/>
      <c r="L20" s="344"/>
      <c r="M20" s="344"/>
      <c r="N20" s="344"/>
      <c r="O20" s="345"/>
      <c r="P20" s="7"/>
      <c r="V20" s="12"/>
      <c r="W20" s="217"/>
      <c r="X20" s="218"/>
      <c r="Y20" s="219"/>
      <c r="Z20" s="193"/>
    </row>
    <row r="21" spans="1:46" ht="21" customHeight="1" thickBot="1" x14ac:dyDescent="0.2">
      <c r="A21" s="54" t="s">
        <v>16</v>
      </c>
      <c r="B21" s="7"/>
      <c r="C21" s="64"/>
      <c r="D21" s="7"/>
      <c r="E21" s="7"/>
      <c r="F21" s="7"/>
      <c r="G21" s="7"/>
      <c r="H21" s="7"/>
      <c r="I21" s="7"/>
      <c r="J21" s="7"/>
      <c r="K21" s="7"/>
      <c r="L21" s="7"/>
      <c r="M21" s="7"/>
      <c r="N21" s="7"/>
      <c r="O21" s="7"/>
      <c r="P21" s="7"/>
      <c r="V21" s="12"/>
      <c r="W21" s="217"/>
      <c r="X21" s="218"/>
      <c r="Y21" s="219"/>
      <c r="Z21" s="193"/>
    </row>
    <row r="22" spans="1:46" s="8" customFormat="1" ht="24" customHeight="1" thickBot="1" x14ac:dyDescent="0.2">
      <c r="A22" s="43"/>
      <c r="B22" s="294" t="s">
        <v>37</v>
      </c>
      <c r="C22" s="295"/>
      <c r="D22" s="296"/>
      <c r="E22" s="334" t="s">
        <v>38</v>
      </c>
      <c r="F22" s="296"/>
      <c r="G22" s="334" t="s">
        <v>39</v>
      </c>
      <c r="H22" s="295"/>
      <c r="I22" s="295"/>
      <c r="J22" s="295"/>
      <c r="K22" s="295"/>
      <c r="L22" s="295"/>
      <c r="M22" s="295"/>
      <c r="N22" s="295"/>
      <c r="O22" s="349"/>
      <c r="P22" s="43"/>
      <c r="Q22" s="12"/>
      <c r="R22" s="12"/>
      <c r="S22" s="12"/>
      <c r="T22" s="12"/>
      <c r="U22" s="12"/>
      <c r="V22" s="12"/>
      <c r="W22" s="12"/>
      <c r="X22" s="12"/>
      <c r="Y22" s="194"/>
      <c r="Z22" s="12"/>
      <c r="AA22" s="12"/>
      <c r="AB22" s="12"/>
      <c r="AC22" s="12"/>
      <c r="AD22" s="12"/>
      <c r="AE22" s="11"/>
      <c r="AF22" s="11"/>
      <c r="AG22" s="11"/>
      <c r="AH22" s="11"/>
      <c r="AI22" s="11"/>
      <c r="AJ22" s="11"/>
      <c r="AK22" s="11"/>
      <c r="AL22" s="11"/>
      <c r="AM22" s="11"/>
      <c r="AN22" s="11"/>
      <c r="AO22" s="11"/>
      <c r="AP22" s="11"/>
      <c r="AQ22" s="11"/>
      <c r="AR22" s="11"/>
      <c r="AS22" s="11"/>
      <c r="AT22" s="11"/>
    </row>
    <row r="23" spans="1:46" ht="29.25" customHeight="1" x14ac:dyDescent="0.15">
      <c r="A23" s="7"/>
      <c r="B23" s="314" t="s">
        <v>25</v>
      </c>
      <c r="C23" s="315"/>
      <c r="D23" s="315"/>
      <c r="E23" s="316">
        <f>IF($G$10="",0,SUM('16号-2①'!D55,'16号-2②'!D55,'16号-2③'!D55,'16号-2④'!D55))</f>
        <v>0</v>
      </c>
      <c r="F23" s="316"/>
      <c r="G23" s="317"/>
      <c r="H23" s="317"/>
      <c r="I23" s="317"/>
      <c r="J23" s="317"/>
      <c r="K23" s="317"/>
      <c r="L23" s="317"/>
      <c r="M23" s="317"/>
      <c r="N23" s="317"/>
      <c r="O23" s="318"/>
      <c r="P23" s="7"/>
    </row>
    <row r="24" spans="1:46" ht="29.25" customHeight="1" x14ac:dyDescent="0.15">
      <c r="A24" s="7"/>
      <c r="B24" s="329" t="s">
        <v>26</v>
      </c>
      <c r="C24" s="330"/>
      <c r="D24" s="330"/>
      <c r="E24" s="341">
        <f>IF($G$10="",0,SUM('16号-2①'!D56,'16号-2②'!D56,'16号-2③'!D56,'16号-2④'!D56))</f>
        <v>0</v>
      </c>
      <c r="F24" s="342"/>
      <c r="G24" s="335"/>
      <c r="H24" s="335"/>
      <c r="I24" s="335"/>
      <c r="J24" s="335"/>
      <c r="K24" s="335"/>
      <c r="L24" s="335"/>
      <c r="M24" s="335"/>
      <c r="N24" s="335"/>
      <c r="O24" s="336"/>
      <c r="P24" s="7"/>
      <c r="Q24" s="11"/>
      <c r="R24" s="11"/>
    </row>
    <row r="25" spans="1:46" ht="29.25" customHeight="1" x14ac:dyDescent="0.15">
      <c r="A25" s="7"/>
      <c r="B25" s="329" t="s">
        <v>27</v>
      </c>
      <c r="C25" s="330"/>
      <c r="D25" s="330"/>
      <c r="E25" s="341">
        <f>IF($G$10="",0,SUM('16号-2①'!D57,'16号-2②'!D57,'16号-2③'!D57,'16号-2④'!D57))</f>
        <v>0</v>
      </c>
      <c r="F25" s="342"/>
      <c r="G25" s="335"/>
      <c r="H25" s="335"/>
      <c r="I25" s="335"/>
      <c r="J25" s="335"/>
      <c r="K25" s="335"/>
      <c r="L25" s="335"/>
      <c r="M25" s="335"/>
      <c r="N25" s="335"/>
      <c r="O25" s="336"/>
      <c r="P25" s="7"/>
      <c r="S25" s="377"/>
      <c r="T25" s="378"/>
      <c r="U25" s="378"/>
      <c r="V25" s="76"/>
    </row>
    <row r="26" spans="1:46" ht="29.25" customHeight="1" x14ac:dyDescent="0.15">
      <c r="A26" s="7"/>
      <c r="B26" s="375" t="s">
        <v>31</v>
      </c>
      <c r="C26" s="376"/>
      <c r="D26" s="376"/>
      <c r="E26" s="341">
        <f>IF($G$10="",0,SUM('16号-2①'!D58,'16号-2②'!D58,'16号-2③'!D58,'16号-2④'!D58))</f>
        <v>0</v>
      </c>
      <c r="F26" s="342"/>
      <c r="G26" s="335"/>
      <c r="H26" s="335"/>
      <c r="I26" s="335"/>
      <c r="J26" s="335"/>
      <c r="K26" s="335"/>
      <c r="L26" s="335"/>
      <c r="M26" s="335"/>
      <c r="N26" s="335"/>
      <c r="O26" s="336"/>
      <c r="P26" s="7"/>
      <c r="S26" s="221"/>
      <c r="T26" s="221"/>
      <c r="U26" s="221"/>
      <c r="V26" s="210"/>
      <c r="W26" s="70"/>
    </row>
    <row r="27" spans="1:46" ht="29.25" customHeight="1" thickBot="1" x14ac:dyDescent="0.2">
      <c r="A27" s="7"/>
      <c r="B27" s="297" t="s">
        <v>28</v>
      </c>
      <c r="C27" s="298"/>
      <c r="D27" s="298"/>
      <c r="E27" s="301">
        <f>IF($G$10="",0,SUM(E23:F26))</f>
        <v>0</v>
      </c>
      <c r="F27" s="301"/>
      <c r="G27" s="299"/>
      <c r="H27" s="299"/>
      <c r="I27" s="299"/>
      <c r="J27" s="299"/>
      <c r="K27" s="299"/>
      <c r="L27" s="299"/>
      <c r="M27" s="299"/>
      <c r="N27" s="299"/>
      <c r="O27" s="300"/>
      <c r="P27" s="7"/>
      <c r="S27" s="222"/>
      <c r="T27" s="223"/>
      <c r="U27" s="223"/>
      <c r="V27" s="85"/>
      <c r="W27" s="70"/>
    </row>
    <row r="28" spans="1:46" ht="29.25" customHeight="1" x14ac:dyDescent="0.15">
      <c r="A28" s="7"/>
      <c r="B28" s="314" t="s">
        <v>40</v>
      </c>
      <c r="C28" s="315"/>
      <c r="D28" s="315"/>
      <c r="E28" s="316">
        <f>IF($G$10="",0,SUM('16号-2①'!D60,'16号-2②'!D60,'16号-2③'!D60,'16号-2④'!D60))</f>
        <v>0</v>
      </c>
      <c r="F28" s="316"/>
      <c r="G28" s="317"/>
      <c r="H28" s="317"/>
      <c r="I28" s="317"/>
      <c r="J28" s="317"/>
      <c r="K28" s="317"/>
      <c r="L28" s="317"/>
      <c r="M28" s="317"/>
      <c r="N28" s="317"/>
      <c r="O28" s="318"/>
      <c r="P28" s="7"/>
      <c r="S28" s="102"/>
      <c r="T28" s="223"/>
      <c r="U28" s="223"/>
      <c r="V28" s="85"/>
      <c r="W28" s="70"/>
    </row>
    <row r="29" spans="1:46" ht="29.25" customHeight="1" thickBot="1" x14ac:dyDescent="0.2">
      <c r="A29" s="7"/>
      <c r="B29" s="313" t="s">
        <v>30</v>
      </c>
      <c r="C29" s="298"/>
      <c r="D29" s="298"/>
      <c r="E29" s="301">
        <f>IF(AND($G$10="",$E$20=""),0,SUM('16号-2①'!D61,'16号-2②'!D61,'16号-2③'!D61,'16号-2④'!D61))</f>
        <v>0</v>
      </c>
      <c r="F29" s="301"/>
      <c r="G29" s="299"/>
      <c r="H29" s="299"/>
      <c r="I29" s="299"/>
      <c r="J29" s="299"/>
      <c r="K29" s="299"/>
      <c r="L29" s="299"/>
      <c r="M29" s="299"/>
      <c r="N29" s="299"/>
      <c r="O29" s="300"/>
      <c r="P29" s="7"/>
      <c r="S29" s="102"/>
      <c r="T29" s="223"/>
      <c r="U29" s="223"/>
      <c r="V29" s="85"/>
      <c r="W29" s="70"/>
    </row>
    <row r="30" spans="1:46" ht="29.25" customHeight="1" thickBot="1" x14ac:dyDescent="0.2">
      <c r="A30" s="7"/>
      <c r="B30" s="294" t="s">
        <v>29</v>
      </c>
      <c r="C30" s="295"/>
      <c r="D30" s="296"/>
      <c r="E30" s="319">
        <f>E27+E28+E29</f>
        <v>0</v>
      </c>
      <c r="F30" s="320"/>
      <c r="G30" s="310"/>
      <c r="H30" s="311"/>
      <c r="I30" s="311"/>
      <c r="J30" s="311"/>
      <c r="K30" s="311"/>
      <c r="L30" s="311"/>
      <c r="M30" s="311"/>
      <c r="N30" s="311"/>
      <c r="O30" s="312"/>
      <c r="P30" s="7"/>
      <c r="S30" s="102"/>
      <c r="T30" s="223"/>
      <c r="U30" s="223"/>
      <c r="V30" s="85"/>
      <c r="W30" s="70"/>
    </row>
    <row r="31" spans="1:46" ht="28.5" customHeight="1" x14ac:dyDescent="0.15">
      <c r="A31" s="7"/>
      <c r="B31" s="13" t="s">
        <v>110</v>
      </c>
      <c r="C31" s="14"/>
      <c r="D31" s="14"/>
      <c r="E31" s="15"/>
      <c r="F31" s="15"/>
      <c r="G31" s="16"/>
      <c r="H31" s="16"/>
      <c r="I31" s="16"/>
      <c r="J31" s="16"/>
      <c r="K31" s="16"/>
      <c r="L31" s="16"/>
      <c r="M31" s="16"/>
      <c r="N31" s="16"/>
      <c r="O31" s="16"/>
      <c r="P31" s="7"/>
      <c r="Q31" s="70"/>
      <c r="R31" s="70"/>
      <c r="S31" s="102"/>
      <c r="T31" s="223"/>
      <c r="U31" s="223"/>
      <c r="V31" s="85"/>
      <c r="W31" s="70"/>
      <c r="Y31" s="70"/>
    </row>
    <row r="32" spans="1:46" ht="21" customHeight="1" x14ac:dyDescent="0.15">
      <c r="A32" s="54" t="s">
        <v>43</v>
      </c>
      <c r="B32" s="52"/>
      <c r="C32" s="64"/>
      <c r="D32" s="7"/>
      <c r="E32" s="7"/>
      <c r="F32" s="7"/>
      <c r="G32" s="7"/>
      <c r="H32" s="7"/>
      <c r="I32" s="7"/>
      <c r="J32" s="7"/>
      <c r="K32" s="7"/>
      <c r="L32" s="7"/>
      <c r="M32" s="7"/>
      <c r="N32" s="7"/>
      <c r="O32" s="7"/>
      <c r="P32" s="7"/>
      <c r="Q32" s="70"/>
      <c r="R32" s="70"/>
      <c r="S32" s="102"/>
      <c r="T32" s="103"/>
      <c r="U32" s="103"/>
      <c r="V32" s="85"/>
      <c r="W32" s="104"/>
      <c r="X32" s="70"/>
      <c r="Y32" s="70"/>
    </row>
    <row r="33" spans="1:25" ht="6" customHeight="1" x14ac:dyDescent="0.15">
      <c r="A33" s="7"/>
      <c r="B33" s="59"/>
      <c r="C33" s="64"/>
      <c r="D33" s="7"/>
      <c r="E33" s="7"/>
      <c r="F33" s="7"/>
      <c r="G33" s="7"/>
      <c r="H33" s="7"/>
      <c r="I33" s="7"/>
      <c r="J33" s="7"/>
      <c r="K33" s="7"/>
      <c r="L33" s="7"/>
      <c r="M33" s="7"/>
      <c r="N33" s="7"/>
      <c r="O33" s="7"/>
      <c r="P33" s="7"/>
      <c r="Q33" s="70"/>
      <c r="R33" s="70"/>
      <c r="S33" s="102"/>
      <c r="T33" s="103"/>
      <c r="U33" s="103"/>
      <c r="V33" s="85"/>
      <c r="W33" s="104"/>
      <c r="X33" s="70"/>
      <c r="Y33" s="70"/>
    </row>
    <row r="34" spans="1:25" ht="15" customHeight="1" x14ac:dyDescent="0.15">
      <c r="A34" s="7"/>
      <c r="B34" s="52"/>
      <c r="C34" s="292" t="s">
        <v>17</v>
      </c>
      <c r="D34" s="293"/>
      <c r="E34" s="324" t="str">
        <f>PHONETIC(E35)</f>
        <v/>
      </c>
      <c r="F34" s="325"/>
      <c r="G34" s="325"/>
      <c r="H34" s="325"/>
      <c r="I34" s="325"/>
      <c r="J34" s="325"/>
      <c r="K34" s="325"/>
      <c r="L34" s="325"/>
      <c r="M34" s="325"/>
      <c r="N34" s="326"/>
      <c r="O34" s="7"/>
      <c r="P34" s="7"/>
      <c r="Q34" s="70"/>
      <c r="R34" s="70"/>
      <c r="S34" s="102"/>
      <c r="T34" s="103"/>
      <c r="U34" s="103"/>
      <c r="V34" s="85"/>
      <c r="W34" s="104"/>
      <c r="X34" s="70"/>
      <c r="Y34" s="70"/>
    </row>
    <row r="35" spans="1:25" ht="28.5" customHeight="1" x14ac:dyDescent="0.15">
      <c r="A35" s="7"/>
      <c r="B35" s="52"/>
      <c r="C35" s="308" t="s">
        <v>18</v>
      </c>
      <c r="D35" s="309"/>
      <c r="E35" s="321"/>
      <c r="F35" s="322"/>
      <c r="G35" s="322"/>
      <c r="H35" s="322"/>
      <c r="I35" s="322"/>
      <c r="J35" s="322"/>
      <c r="K35" s="322"/>
      <c r="L35" s="322"/>
      <c r="M35" s="322"/>
      <c r="N35" s="323"/>
      <c r="O35" s="7"/>
      <c r="P35" s="7"/>
      <c r="Q35" s="70"/>
      <c r="R35" s="70"/>
      <c r="S35" s="102"/>
      <c r="T35" s="103"/>
      <c r="U35" s="103"/>
      <c r="V35" s="85"/>
      <c r="W35" s="104"/>
      <c r="X35" s="70"/>
      <c r="Y35" s="70"/>
    </row>
    <row r="36" spans="1:25" ht="15" customHeight="1" x14ac:dyDescent="0.15">
      <c r="A36" s="7"/>
      <c r="B36" s="52"/>
      <c r="C36" s="354" t="s">
        <v>19</v>
      </c>
      <c r="D36" s="355"/>
      <c r="E36" s="356"/>
      <c r="F36" s="361" t="s">
        <v>17</v>
      </c>
      <c r="G36" s="362"/>
      <c r="H36" s="363"/>
      <c r="I36" s="324" t="str">
        <f>PHONETIC(I37)</f>
        <v/>
      </c>
      <c r="J36" s="325"/>
      <c r="K36" s="325"/>
      <c r="L36" s="325"/>
      <c r="M36" s="325"/>
      <c r="N36" s="326"/>
      <c r="O36" s="7"/>
      <c r="P36" s="7"/>
      <c r="Q36" s="70"/>
      <c r="R36" s="70"/>
      <c r="S36" s="102"/>
      <c r="T36" s="103"/>
      <c r="U36" s="103"/>
      <c r="V36" s="85"/>
      <c r="W36" s="104"/>
      <c r="X36" s="70"/>
      <c r="Y36" s="70"/>
    </row>
    <row r="37" spans="1:25" ht="28.5" customHeight="1" x14ac:dyDescent="0.15">
      <c r="A37" s="7"/>
      <c r="B37" s="52"/>
      <c r="C37" s="308"/>
      <c r="D37" s="309"/>
      <c r="E37" s="357"/>
      <c r="F37" s="358" t="s">
        <v>20</v>
      </c>
      <c r="G37" s="359"/>
      <c r="H37" s="360"/>
      <c r="I37" s="321"/>
      <c r="J37" s="322"/>
      <c r="K37" s="322"/>
      <c r="L37" s="322"/>
      <c r="M37" s="322"/>
      <c r="N37" s="323"/>
      <c r="O37" s="7"/>
      <c r="P37" s="7"/>
      <c r="Q37" s="70"/>
      <c r="R37" s="70"/>
      <c r="S37" s="102"/>
      <c r="T37" s="103"/>
      <c r="U37" s="103"/>
      <c r="V37" s="85"/>
      <c r="W37" s="104"/>
      <c r="X37" s="70"/>
      <c r="Y37" s="70"/>
    </row>
    <row r="38" spans="1:25" ht="30.75" customHeight="1" x14ac:dyDescent="0.15">
      <c r="A38" s="7"/>
      <c r="B38" s="52"/>
      <c r="C38" s="353" t="s">
        <v>36</v>
      </c>
      <c r="D38" s="352"/>
      <c r="E38" s="83"/>
      <c r="F38" s="350" t="s">
        <v>21</v>
      </c>
      <c r="G38" s="351"/>
      <c r="H38" s="352"/>
      <c r="I38" s="364"/>
      <c r="J38" s="365"/>
      <c r="K38" s="365"/>
      <c r="L38" s="365"/>
      <c r="M38" s="365"/>
      <c r="N38" s="366"/>
      <c r="O38" s="7"/>
      <c r="P38" s="7"/>
      <c r="Q38" s="70"/>
      <c r="R38" s="70"/>
      <c r="S38" s="102"/>
      <c r="T38" s="103"/>
      <c r="U38" s="103"/>
      <c r="V38" s="85"/>
      <c r="W38" s="104"/>
      <c r="X38" s="70"/>
      <c r="Y38" s="70"/>
    </row>
    <row r="39" spans="1:25" ht="15" customHeight="1" x14ac:dyDescent="0.15">
      <c r="A39" s="7"/>
      <c r="B39" s="52"/>
      <c r="C39" s="292" t="s">
        <v>17</v>
      </c>
      <c r="D39" s="293"/>
      <c r="E39" s="324" t="str">
        <f>PHONETIC(E40)</f>
        <v/>
      </c>
      <c r="F39" s="325"/>
      <c r="G39" s="325"/>
      <c r="H39" s="325"/>
      <c r="I39" s="325"/>
      <c r="J39" s="325"/>
      <c r="K39" s="325"/>
      <c r="L39" s="325"/>
      <c r="M39" s="325"/>
      <c r="N39" s="326"/>
      <c r="O39" s="7"/>
      <c r="P39" s="7"/>
      <c r="Q39" s="70"/>
      <c r="R39" s="70"/>
      <c r="S39" s="70"/>
      <c r="T39" s="70"/>
      <c r="U39" s="70"/>
      <c r="W39" s="70"/>
      <c r="X39" s="70"/>
      <c r="Y39" s="70"/>
    </row>
    <row r="40" spans="1:25" ht="28.5" customHeight="1" x14ac:dyDescent="0.15">
      <c r="A40" s="7"/>
      <c r="B40" s="52"/>
      <c r="C40" s="308" t="s">
        <v>22</v>
      </c>
      <c r="D40" s="309"/>
      <c r="E40" s="321"/>
      <c r="F40" s="322"/>
      <c r="G40" s="322"/>
      <c r="H40" s="322"/>
      <c r="I40" s="322"/>
      <c r="J40" s="322"/>
      <c r="K40" s="322"/>
      <c r="L40" s="322"/>
      <c r="M40" s="322"/>
      <c r="N40" s="323"/>
      <c r="O40" s="7"/>
      <c r="P40" s="7"/>
      <c r="S40" s="70"/>
      <c r="T40" s="70"/>
    </row>
    <row r="41" spans="1:25" ht="5.25" customHeight="1" x14ac:dyDescent="0.15">
      <c r="A41" s="7"/>
      <c r="B41" s="52"/>
      <c r="C41" s="65"/>
      <c r="D41" s="65"/>
      <c r="E41" s="7"/>
      <c r="F41" s="7"/>
      <c r="G41" s="7"/>
      <c r="H41" s="7"/>
      <c r="I41" s="7"/>
      <c r="J41" s="7"/>
      <c r="K41" s="7"/>
      <c r="L41" s="7"/>
      <c r="M41" s="7"/>
      <c r="N41" s="7"/>
      <c r="O41" s="7"/>
      <c r="P41" s="7"/>
      <c r="S41" s="70"/>
      <c r="T41" s="70"/>
    </row>
    <row r="42" spans="1:25" ht="13.5" customHeight="1" x14ac:dyDescent="0.15">
      <c r="A42" s="7"/>
      <c r="B42" s="66" t="s">
        <v>45</v>
      </c>
      <c r="C42" s="67" t="s">
        <v>46</v>
      </c>
      <c r="D42" s="65"/>
      <c r="E42" s="7"/>
      <c r="F42" s="7"/>
      <c r="G42" s="7"/>
      <c r="H42" s="7"/>
      <c r="I42" s="7"/>
      <c r="J42" s="7"/>
      <c r="K42" s="7"/>
      <c r="L42" s="7"/>
      <c r="M42" s="7"/>
      <c r="N42" s="7"/>
      <c r="O42" s="7"/>
      <c r="P42" s="7"/>
      <c r="S42" s="70"/>
      <c r="T42" s="70"/>
    </row>
    <row r="43" spans="1:25" ht="18.75" customHeight="1" x14ac:dyDescent="0.15">
      <c r="A43" s="7"/>
      <c r="B43" s="7"/>
      <c r="C43" s="67" t="s">
        <v>112</v>
      </c>
      <c r="D43" s="286"/>
      <c r="E43" s="286"/>
      <c r="F43" s="286"/>
      <c r="G43" s="286"/>
      <c r="H43" s="286"/>
      <c r="I43" s="286"/>
      <c r="J43" s="286"/>
      <c r="K43" s="286"/>
      <c r="L43" s="286"/>
      <c r="M43" s="286"/>
      <c r="N43" s="286"/>
      <c r="O43" s="7"/>
      <c r="P43" s="7"/>
    </row>
    <row r="44" spans="1:25" x14ac:dyDescent="0.15">
      <c r="A44" s="7"/>
      <c r="B44" s="7"/>
      <c r="C44" s="185" t="s">
        <v>113</v>
      </c>
      <c r="D44" s="65"/>
      <c r="E44" s="7"/>
      <c r="F44" s="7"/>
      <c r="G44" s="7"/>
      <c r="H44" s="7"/>
      <c r="I44" s="7"/>
      <c r="J44" s="7"/>
      <c r="K44" s="7"/>
      <c r="L44" s="7"/>
      <c r="M44" s="7"/>
      <c r="N44" s="7"/>
      <c r="O44" s="7"/>
      <c r="P44" s="7"/>
    </row>
    <row r="45" spans="1:25" x14ac:dyDescent="0.15">
      <c r="A45" s="7"/>
      <c r="B45" s="7"/>
      <c r="C45" s="185" t="s">
        <v>111</v>
      </c>
      <c r="D45" s="65"/>
      <c r="E45" s="7"/>
      <c r="F45" s="7"/>
      <c r="G45" s="7"/>
      <c r="H45" s="7"/>
      <c r="I45" s="7"/>
      <c r="J45" s="7"/>
      <c r="K45" s="7"/>
      <c r="L45" s="7"/>
      <c r="M45" s="7"/>
      <c r="N45" s="7"/>
      <c r="O45" s="7"/>
      <c r="P45" s="7"/>
    </row>
    <row r="46" spans="1:25" x14ac:dyDescent="0.15">
      <c r="A46" s="7"/>
      <c r="B46" s="7"/>
      <c r="D46" s="65"/>
      <c r="E46" s="7"/>
      <c r="F46" s="7"/>
      <c r="G46" s="7"/>
      <c r="H46" s="7"/>
      <c r="I46" s="7"/>
      <c r="J46" s="7"/>
      <c r="K46" s="7"/>
      <c r="L46" s="7"/>
      <c r="M46" s="7"/>
      <c r="N46" s="7"/>
      <c r="O46" s="7"/>
      <c r="P46" s="7"/>
    </row>
    <row r="47" spans="1:25" ht="13.5" customHeight="1" x14ac:dyDescent="0.15"/>
    <row r="48" spans="1:25" ht="13.5" customHeight="1" x14ac:dyDescent="0.15"/>
  </sheetData>
  <sheetProtection algorithmName="SHA-512" hashValue="B8X7OzQN3T4+JvBRc57HVHR5kllTLdxEVf0cmSjQ8iNL9XiKRlWyiqlxT8qirFfq8yoWJvHj6z4LTRIDqk347w==" saltValue="hY0LatD7d97xUlGexjdlLg==" spinCount="100000" sheet="1" objects="1" selectLockedCells="1"/>
  <mergeCells count="69">
    <mergeCell ref="W2:Y2"/>
    <mergeCell ref="E26:F26"/>
    <mergeCell ref="S4:U6"/>
    <mergeCell ref="G12:O12"/>
    <mergeCell ref="G13:O13"/>
    <mergeCell ref="J7:K7"/>
    <mergeCell ref="G26:O26"/>
    <mergeCell ref="C4:L4"/>
    <mergeCell ref="B26:D26"/>
    <mergeCell ref="S25:U25"/>
    <mergeCell ref="E25:F25"/>
    <mergeCell ref="B25:D25"/>
    <mergeCell ref="G25:O25"/>
    <mergeCell ref="B15:O17"/>
    <mergeCell ref="X15:Y15"/>
    <mergeCell ref="X16:Y16"/>
    <mergeCell ref="C40:D40"/>
    <mergeCell ref="F38:H38"/>
    <mergeCell ref="I36:N36"/>
    <mergeCell ref="C39:D39"/>
    <mergeCell ref="C38:D38"/>
    <mergeCell ref="I37:N37"/>
    <mergeCell ref="E40:N40"/>
    <mergeCell ref="C36:D37"/>
    <mergeCell ref="E36:E37"/>
    <mergeCell ref="F37:H37"/>
    <mergeCell ref="F36:H36"/>
    <mergeCell ref="I38:N38"/>
    <mergeCell ref="E39:N39"/>
    <mergeCell ref="B1:D1"/>
    <mergeCell ref="G6:I6"/>
    <mergeCell ref="B22:D22"/>
    <mergeCell ref="B23:D23"/>
    <mergeCell ref="B24:D24"/>
    <mergeCell ref="B19:D19"/>
    <mergeCell ref="E22:F22"/>
    <mergeCell ref="G24:O24"/>
    <mergeCell ref="E19:O19"/>
    <mergeCell ref="G10:O10"/>
    <mergeCell ref="G23:O23"/>
    <mergeCell ref="E24:F24"/>
    <mergeCell ref="E20:O20"/>
    <mergeCell ref="B20:D20"/>
    <mergeCell ref="G22:O22"/>
    <mergeCell ref="E23:F23"/>
    <mergeCell ref="C35:D35"/>
    <mergeCell ref="G30:O30"/>
    <mergeCell ref="B29:D29"/>
    <mergeCell ref="B28:D28"/>
    <mergeCell ref="E28:F28"/>
    <mergeCell ref="G28:O28"/>
    <mergeCell ref="G29:O29"/>
    <mergeCell ref="E30:F30"/>
    <mergeCell ref="E29:F29"/>
    <mergeCell ref="E35:N35"/>
    <mergeCell ref="E34:N34"/>
    <mergeCell ref="Z9:AA9"/>
    <mergeCell ref="Z10:AA10"/>
    <mergeCell ref="C34:D34"/>
    <mergeCell ref="B30:D30"/>
    <mergeCell ref="B27:D27"/>
    <mergeCell ref="G27:O27"/>
    <mergeCell ref="E27:F27"/>
    <mergeCell ref="S12:U12"/>
    <mergeCell ref="X14:Y14"/>
    <mergeCell ref="X17:Y17"/>
    <mergeCell ref="X18:Y18"/>
    <mergeCell ref="X19:Y19"/>
    <mergeCell ref="X13:Y13"/>
  </mergeCells>
  <phoneticPr fontId="2"/>
  <conditionalFormatting sqref="S31">
    <cfRule type="expression" dxfId="13" priority="4">
      <formula>$T$31&lt;&gt;""</formula>
    </cfRule>
  </conditionalFormatting>
  <conditionalFormatting sqref="T31">
    <cfRule type="expression" dxfId="12" priority="3">
      <formula>$T$31&lt;&gt;""</formula>
    </cfRule>
  </conditionalFormatting>
  <conditionalFormatting sqref="U31">
    <cfRule type="expression" dxfId="11" priority="2">
      <formula>$T$31&lt;&gt;""</formula>
    </cfRule>
  </conditionalFormatting>
  <dataValidations count="4">
    <dataValidation imeMode="halfAlpha" allowBlank="1" showInputMessage="1" showErrorMessage="1" sqref="O7:P7 E36:E37 I38:N38 M7 H11" xr:uid="{00000000-0002-0000-0100-000000000000}"/>
    <dataValidation imeMode="fullKatakana" allowBlank="1" showInputMessage="1" showErrorMessage="1" sqref="I36:N36 E34:N34 E39:N39" xr:uid="{00000000-0002-0000-0100-000001000000}"/>
    <dataValidation type="list" allowBlank="1" showInputMessage="1" sqref="E38" xr:uid="{00000000-0002-0000-0100-000002000000}">
      <formula1>"普通預金,当座預金"</formula1>
    </dataValidation>
    <dataValidation type="list" allowBlank="1" showInputMessage="1" showErrorMessage="1" sqref="W2" xr:uid="{00000000-0002-0000-0100-000003000000}">
      <formula1>$Y$4:$Y$6</formula1>
    </dataValidation>
  </dataValidations>
  <printOptions horizontalCentered="1" verticalCentered="1"/>
  <pageMargins left="0.15748031496062992" right="0.15748031496062992" top="0.27559055118110237" bottom="0.27559055118110237" header="0.15748031496062992" footer="0.15748031496062992"/>
  <pageSetup paperSize="9" scale="87" orientation="portrait" r:id="rId1"/>
  <headerFooter>
    <oddHeader xml:space="preserve">&amp;R&amp;8
. </oddHeader>
    <oddFooter>&amp;L&amp;8　.&amp;C&amp;9PC版&amp;R&amp;8.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from>
                    <xdr:col>12</xdr:col>
                    <xdr:colOff>85725</xdr:colOff>
                    <xdr:row>2</xdr:row>
                    <xdr:rowOff>9525</xdr:rowOff>
                  </from>
                  <to>
                    <xdr:col>14</xdr:col>
                    <xdr:colOff>200025</xdr:colOff>
                    <xdr:row>3</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C000"/>
    <pageSetUpPr fitToPage="1"/>
  </sheetPr>
  <dimension ref="A1:V68"/>
  <sheetViews>
    <sheetView showGridLines="0" view="pageBreakPreview" zoomScale="50" zoomScaleNormal="70" zoomScaleSheetLayoutView="50" workbookViewId="0">
      <selection activeCell="D11" sqref="D11:E11"/>
    </sheetView>
  </sheetViews>
  <sheetFormatPr defaultRowHeight="21.75" x14ac:dyDescent="0.25"/>
  <cols>
    <col min="1" max="1" width="15.125" style="78" customWidth="1"/>
    <col min="2" max="2" width="21.625" style="77" customWidth="1"/>
    <col min="3" max="3" width="8.5" style="77" customWidth="1"/>
    <col min="4" max="4" width="30.625" style="79" customWidth="1"/>
    <col min="5" max="5" width="3.625" style="80" customWidth="1"/>
    <col min="6" max="7" width="11.625" style="77" customWidth="1"/>
    <col min="8" max="8" width="6.625" style="77" customWidth="1"/>
    <col min="9" max="10" width="8.625" style="77" customWidth="1"/>
    <col min="11" max="11" width="62.625" style="93" customWidth="1"/>
    <col min="12" max="12" width="10.5" style="88" hidden="1" customWidth="1"/>
    <col min="13" max="13" width="16.25" style="88" hidden="1" customWidth="1"/>
    <col min="14" max="14" width="9.625" style="137" hidden="1" customWidth="1"/>
    <col min="15" max="15" width="10.625" style="144" hidden="1" customWidth="1"/>
    <col min="16" max="16" width="10.625" style="88" hidden="1" customWidth="1"/>
    <col min="17" max="17" width="15.625" style="88" hidden="1" customWidth="1"/>
    <col min="18" max="18" width="5.125" style="88" hidden="1" customWidth="1"/>
    <col min="19" max="19" width="9" style="89" hidden="1" customWidth="1"/>
    <col min="20" max="20" width="9" style="89" customWidth="1"/>
    <col min="21" max="22" width="9" style="89"/>
    <col min="23" max="16384" width="9" style="9"/>
  </cols>
  <sheetData>
    <row r="1" spans="1:22" ht="56.25" customHeight="1" thickBot="1" x14ac:dyDescent="0.3">
      <c r="A1" s="46"/>
      <c r="B1" s="19"/>
      <c r="C1" s="19"/>
      <c r="D1" s="20"/>
      <c r="E1" s="49"/>
      <c r="F1" s="19"/>
      <c r="G1" s="19"/>
      <c r="H1" s="19"/>
      <c r="I1" s="19"/>
      <c r="J1" s="19"/>
      <c r="O1" s="138"/>
    </row>
    <row r="2" spans="1:22" ht="27" customHeight="1" thickTop="1" thickBot="1" x14ac:dyDescent="0.35">
      <c r="A2" s="18"/>
      <c r="B2" s="19"/>
      <c r="C2" s="19"/>
      <c r="D2" s="20"/>
      <c r="E2" s="49"/>
      <c r="F2" s="21"/>
      <c r="G2" s="21"/>
      <c r="H2" s="21"/>
      <c r="I2" s="21"/>
      <c r="J2" s="22" t="str">
        <f>'16号-1'!L3</f>
        <v>令和3年6月研修開始</v>
      </c>
      <c r="L2" s="178">
        <f>EOMONTH('16号-1'!$Z$10,11)</f>
        <v>44712</v>
      </c>
      <c r="M2" s="139" t="s">
        <v>58</v>
      </c>
      <c r="N2" s="140"/>
      <c r="O2" s="141"/>
      <c r="P2" s="110"/>
      <c r="Q2" s="110"/>
      <c r="R2" s="111"/>
    </row>
    <row r="3" spans="1:22" ht="24.75" thickTop="1" x14ac:dyDescent="0.35">
      <c r="A3" s="23" t="s">
        <v>85</v>
      </c>
      <c r="B3" s="19"/>
      <c r="C3" s="19"/>
      <c r="D3" s="20"/>
      <c r="E3" s="49"/>
      <c r="F3" s="24"/>
      <c r="G3" s="24"/>
      <c r="H3" s="24"/>
      <c r="I3" s="24"/>
      <c r="J3" s="24"/>
      <c r="L3" s="142"/>
      <c r="M3" s="142"/>
      <c r="N3" s="143"/>
    </row>
    <row r="4" spans="1:22" ht="23.25" customHeight="1" x14ac:dyDescent="0.35">
      <c r="A4" s="23"/>
      <c r="B4" s="380" t="s">
        <v>83</v>
      </c>
      <c r="C4" s="380"/>
      <c r="D4" s="380"/>
      <c r="E4" s="380"/>
      <c r="F4" s="380"/>
      <c r="G4" s="380"/>
      <c r="H4" s="380"/>
      <c r="I4" s="24"/>
      <c r="J4" s="24"/>
      <c r="L4" s="142"/>
      <c r="M4" s="142"/>
      <c r="N4" s="143"/>
    </row>
    <row r="5" spans="1:22" ht="19.5" customHeight="1" x14ac:dyDescent="0.25">
      <c r="A5" s="224" t="str">
        <f>IF('16号-1'!$W$14="（月別内訳①：）","","（月別内訳①："&amp;YEAR('16号-1'!T14)&amp;"年"&amp;MONTH('16号-1'!T14)&amp;"月～"&amp;YEAR('16号-1'!U14)&amp;"年"&amp;MONTH('16号-1'!U14)&amp;"月）")</f>
        <v>（月別内訳①：2022年4月～2022年7月）</v>
      </c>
      <c r="B5" s="25"/>
      <c r="C5" s="25"/>
      <c r="D5" s="86"/>
      <c r="E5" s="50"/>
      <c r="F5" s="25"/>
      <c r="G5" s="25"/>
      <c r="H5" s="25"/>
      <c r="I5" s="25"/>
      <c r="J5" s="25"/>
    </row>
    <row r="6" spans="1:22" s="10" customFormat="1" ht="24" x14ac:dyDescent="0.35">
      <c r="A6" s="26"/>
      <c r="B6" s="27" t="s">
        <v>6</v>
      </c>
      <c r="C6" s="426" t="str">
        <f>IF('16号-1'!$G$10="","",'16号-1'!$G$10)</f>
        <v/>
      </c>
      <c r="D6" s="426"/>
      <c r="E6" s="426"/>
      <c r="F6" s="426"/>
      <c r="G6" s="426"/>
      <c r="H6" s="426"/>
      <c r="I6" s="426"/>
      <c r="J6" s="426"/>
      <c r="K6" s="94"/>
      <c r="L6" s="447" t="s">
        <v>105</v>
      </c>
      <c r="M6" s="449">
        <f>IF('16号-1'!$Q$3=TRUE,1500000,1200000)</f>
        <v>1200000</v>
      </c>
      <c r="N6" s="145"/>
      <c r="O6" s="146"/>
      <c r="P6" s="90"/>
      <c r="Q6" s="90"/>
      <c r="R6" s="90"/>
      <c r="S6" s="91"/>
      <c r="T6" s="91"/>
      <c r="U6" s="91"/>
      <c r="V6" s="91"/>
    </row>
    <row r="7" spans="1:22" s="10" customFormat="1" ht="24" x14ac:dyDescent="0.35">
      <c r="A7" s="26"/>
      <c r="B7" s="27" t="s">
        <v>4</v>
      </c>
      <c r="C7" s="426" t="str">
        <f>IF('16号-1'!$E$20="","",'16号-1'!$E$20)</f>
        <v/>
      </c>
      <c r="D7" s="426"/>
      <c r="E7" s="426"/>
      <c r="F7" s="426"/>
      <c r="G7" s="426"/>
      <c r="H7" s="426"/>
      <c r="I7" s="426"/>
      <c r="J7" s="426"/>
      <c r="K7" s="94"/>
      <c r="L7" s="448"/>
      <c r="M7" s="449"/>
      <c r="N7" s="145"/>
      <c r="O7" s="146"/>
      <c r="P7" s="90"/>
      <c r="Q7" s="90"/>
      <c r="R7" s="90"/>
      <c r="S7" s="91"/>
      <c r="T7" s="91"/>
      <c r="U7" s="91"/>
      <c r="V7" s="91"/>
    </row>
    <row r="8" spans="1:22" ht="6" hidden="1" customHeight="1" x14ac:dyDescent="0.3">
      <c r="A8" s="18"/>
      <c r="B8" s="28"/>
      <c r="C8" s="430"/>
      <c r="D8" s="430"/>
      <c r="E8" s="51"/>
      <c r="F8" s="429"/>
      <c r="G8" s="429"/>
      <c r="H8" s="87"/>
      <c r="I8" s="123"/>
      <c r="J8" s="19"/>
      <c r="K8" s="95"/>
    </row>
    <row r="9" spans="1:22" ht="6.75" customHeight="1" thickBot="1" x14ac:dyDescent="0.3">
      <c r="A9" s="18"/>
      <c r="B9" s="29"/>
      <c r="C9" s="29"/>
      <c r="D9" s="20"/>
      <c r="E9" s="49"/>
      <c r="F9" s="19"/>
      <c r="G9" s="19"/>
      <c r="H9" s="19"/>
      <c r="I9" s="19"/>
      <c r="J9" s="45"/>
    </row>
    <row r="10" spans="1:22" ht="29.25" customHeight="1" thickBot="1" x14ac:dyDescent="0.3">
      <c r="A10" s="30"/>
      <c r="B10" s="432" t="s">
        <v>11</v>
      </c>
      <c r="C10" s="433"/>
      <c r="D10" s="427" t="s">
        <v>10</v>
      </c>
      <c r="E10" s="428"/>
      <c r="F10" s="432" t="s">
        <v>44</v>
      </c>
      <c r="G10" s="434"/>
      <c r="H10" s="434"/>
      <c r="I10" s="434"/>
      <c r="J10" s="435"/>
      <c r="L10" s="172" t="s">
        <v>60</v>
      </c>
      <c r="M10" s="173" t="s">
        <v>52</v>
      </c>
      <c r="N10" s="174" t="s">
        <v>53</v>
      </c>
      <c r="O10" s="174" t="s">
        <v>92</v>
      </c>
      <c r="P10" s="175" t="s">
        <v>57</v>
      </c>
      <c r="Q10" s="176"/>
      <c r="R10" s="177" t="s">
        <v>61</v>
      </c>
    </row>
    <row r="11" spans="1:22" ht="21" customHeight="1" x14ac:dyDescent="0.25">
      <c r="A11" s="30"/>
      <c r="B11" s="31" t="s">
        <v>0</v>
      </c>
      <c r="C11" s="32"/>
      <c r="D11" s="398"/>
      <c r="E11" s="399"/>
      <c r="F11" s="31" t="s">
        <v>114</v>
      </c>
      <c r="G11" s="33"/>
      <c r="H11" s="33"/>
      <c r="I11" s="33"/>
      <c r="J11" s="34"/>
      <c r="L11" s="147">
        <f>IF(A15="",0,IF(D11="",0,MIN(D11,L15)))</f>
        <v>0</v>
      </c>
      <c r="M11" s="113"/>
      <c r="N11" s="136"/>
      <c r="O11" s="249"/>
      <c r="P11" s="113"/>
      <c r="Q11" s="113"/>
      <c r="R11" s="115"/>
    </row>
    <row r="12" spans="1:22" ht="21" customHeight="1" x14ac:dyDescent="0.25">
      <c r="A12" s="35"/>
      <c r="B12" s="36" t="s">
        <v>2</v>
      </c>
      <c r="C12" s="37"/>
      <c r="D12" s="398"/>
      <c r="E12" s="399"/>
      <c r="F12" s="36" t="s">
        <v>114</v>
      </c>
      <c r="G12" s="38"/>
      <c r="H12" s="38"/>
      <c r="I12" s="38"/>
      <c r="J12" s="39"/>
      <c r="L12" s="148">
        <f>IF($D11&gt;D15,0,IF($D11+D12&lt;D15,D12,D15-$D11))</f>
        <v>0</v>
      </c>
      <c r="M12" s="113"/>
      <c r="N12" s="136"/>
      <c r="O12" s="149"/>
      <c r="P12" s="113"/>
      <c r="Q12" s="113"/>
      <c r="R12" s="115"/>
    </row>
    <row r="13" spans="1:22" ht="21" customHeight="1" x14ac:dyDescent="0.25">
      <c r="A13" s="35"/>
      <c r="B13" s="36" t="s">
        <v>3</v>
      </c>
      <c r="C13" s="37"/>
      <c r="D13" s="398"/>
      <c r="E13" s="399"/>
      <c r="F13" s="36" t="s">
        <v>114</v>
      </c>
      <c r="G13" s="38"/>
      <c r="H13" s="38"/>
      <c r="I13" s="38"/>
      <c r="J13" s="39"/>
      <c r="L13" s="148">
        <f>IF($D11+$D12&gt;D15,0,IF($D11+$D12+D13&lt;D15,D13,D15-$D11-$D12))</f>
        <v>0</v>
      </c>
      <c r="M13" s="113"/>
      <c r="N13" s="136"/>
      <c r="O13" s="149"/>
      <c r="P13" s="113"/>
      <c r="Q13" s="113"/>
      <c r="R13" s="115"/>
    </row>
    <row r="14" spans="1:22" ht="21" customHeight="1" x14ac:dyDescent="0.25">
      <c r="A14" s="40"/>
      <c r="B14" s="36" t="s">
        <v>1</v>
      </c>
      <c r="C14" s="37"/>
      <c r="D14" s="398"/>
      <c r="E14" s="399"/>
      <c r="F14" s="36" t="s">
        <v>114</v>
      </c>
      <c r="G14" s="38"/>
      <c r="H14" s="38"/>
      <c r="I14" s="38"/>
      <c r="J14" s="39"/>
      <c r="L14" s="148">
        <f>IF($D11+$D12+$D13&gt;D15,0,IF($D11+$D12+$D13+D14&lt;D15,D14,D15-$D11-$D12-$D13))</f>
        <v>0</v>
      </c>
      <c r="M14" s="113"/>
      <c r="N14" s="136"/>
      <c r="O14" s="150"/>
      <c r="P14" s="113"/>
      <c r="Q14" s="113"/>
      <c r="R14" s="115"/>
    </row>
    <row r="15" spans="1:22" ht="15" customHeight="1" thickBot="1" x14ac:dyDescent="0.3">
      <c r="A15" s="411">
        <f>IF('16号-1'!W14="","",'16号-1'!T14)</f>
        <v>44652</v>
      </c>
      <c r="B15" s="414" t="s">
        <v>9</v>
      </c>
      <c r="C15" s="415"/>
      <c r="D15" s="418">
        <f>IF($A$15="",0,IF(SUM(D11:E14)&lt;=$L$15,SUM(D11:E14),$L$15))</f>
        <v>0</v>
      </c>
      <c r="E15" s="419"/>
      <c r="F15" s="381" t="str">
        <f>IF('16号-1'!$Q$3=TRUE,"  ←　月計の上限額122,000円","  ←　月計の上限額97,000円")</f>
        <v xml:space="preserve">  ←　月計の上限額97,000円</v>
      </c>
      <c r="G15" s="382"/>
      <c r="H15" s="382"/>
      <c r="I15" s="382"/>
      <c r="J15" s="383"/>
      <c r="L15" s="151">
        <f>IF('16号-1'!$Q$3=TRUE,122000,97000)</f>
        <v>97000</v>
      </c>
      <c r="R15" s="115"/>
    </row>
    <row r="16" spans="1:22" ht="30" customHeight="1" thickBot="1" x14ac:dyDescent="0.3">
      <c r="A16" s="411"/>
      <c r="B16" s="416"/>
      <c r="C16" s="417"/>
      <c r="D16" s="420"/>
      <c r="E16" s="421"/>
      <c r="F16" s="384" t="str">
        <f>IF($A$15="",0,IF(SUM(D11:E14)&gt;$L$15,"　(1)～(4)の月計が上限額を超えています",""))</f>
        <v/>
      </c>
      <c r="G16" s="385"/>
      <c r="H16" s="385"/>
      <c r="I16" s="385"/>
      <c r="J16" s="386"/>
      <c r="L16" s="152"/>
      <c r="M16" s="125">
        <f>A15</f>
        <v>44652</v>
      </c>
      <c r="N16" s="108"/>
      <c r="O16" s="149"/>
      <c r="P16" s="113"/>
      <c r="Q16" s="113"/>
      <c r="R16" s="120"/>
    </row>
    <row r="17" spans="1:19" ht="15" customHeight="1" thickBot="1" x14ac:dyDescent="0.3">
      <c r="A17" s="35"/>
      <c r="B17" s="407" t="s">
        <v>12</v>
      </c>
      <c r="C17" s="408"/>
      <c r="D17" s="400"/>
      <c r="E17" s="401"/>
      <c r="F17" s="387" t="str">
        <f>IF('16号-1'!$Q$3=TRUE,"  ←　年度上限　420,000円","  ←　年度上限　120,000円")</f>
        <v xml:space="preserve">  ←　年度上限　120,000円</v>
      </c>
      <c r="G17" s="388"/>
      <c r="H17" s="388"/>
      <c r="I17" s="389"/>
      <c r="J17" s="390"/>
      <c r="L17" s="247">
        <f>IF($A15="",0,IF(SUM(D11:E14)&lt;=$L15,SUM(D11:E14),$L15))</f>
        <v>0</v>
      </c>
      <c r="M17" s="237"/>
      <c r="N17" s="246">
        <f>IF($A15="",0,IF($D19="",0,MIN(30000,$D19)))</f>
        <v>0</v>
      </c>
      <c r="O17" s="239">
        <f>IF($A15="",0,IF($D17="",0,MIN($P17,$D17)))</f>
        <v>0</v>
      </c>
      <c r="P17" s="151">
        <f>IF('16号-1'!$Q$3=TRUE,420000,120000)</f>
        <v>120000</v>
      </c>
      <c r="Q17" s="228">
        <f>A15</f>
        <v>44652</v>
      </c>
      <c r="R17" s="109">
        <f>IFERROR((DATEDIF('16号-1'!$Z$10,M16,"M")+1),"")</f>
        <v>11</v>
      </c>
      <c r="S17" s="89" t="str">
        <f>IF(R17="","",IF(R17&lt;13,"1年目","2年目"))</f>
        <v>1年目</v>
      </c>
    </row>
    <row r="18" spans="1:19" ht="15" customHeight="1" thickBot="1" x14ac:dyDescent="0.3">
      <c r="A18" s="35"/>
      <c r="B18" s="409"/>
      <c r="C18" s="410"/>
      <c r="D18" s="402"/>
      <c r="E18" s="403"/>
      <c r="F18" s="404" t="str">
        <f>IF(D17="","",IF(D17&gt;P17,"　入力金額が年度上限を越えています",""))</f>
        <v/>
      </c>
      <c r="G18" s="405"/>
      <c r="H18" s="405"/>
      <c r="I18" s="405"/>
      <c r="J18" s="406"/>
      <c r="L18" s="153"/>
      <c r="M18" s="154"/>
      <c r="N18" s="135"/>
      <c r="O18" s="229"/>
      <c r="P18" s="230"/>
      <c r="Q18" s="228"/>
      <c r="R18" s="231"/>
    </row>
    <row r="19" spans="1:19" ht="15" customHeight="1" x14ac:dyDescent="0.25">
      <c r="A19" s="35"/>
      <c r="B19" s="407" t="s">
        <v>8</v>
      </c>
      <c r="C19" s="235"/>
      <c r="D19" s="400"/>
      <c r="E19" s="424"/>
      <c r="F19" s="225" t="s">
        <v>32</v>
      </c>
      <c r="G19" s="226"/>
      <c r="H19" s="226"/>
      <c r="I19" s="226"/>
      <c r="J19" s="227"/>
      <c r="L19" s="155"/>
      <c r="M19" s="113"/>
      <c r="N19" s="135"/>
      <c r="O19" s="149"/>
      <c r="P19" s="113"/>
      <c r="Q19" s="113"/>
      <c r="R19" s="121"/>
    </row>
    <row r="20" spans="1:19" ht="15" customHeight="1" x14ac:dyDescent="0.25">
      <c r="A20" s="35"/>
      <c r="B20" s="409"/>
      <c r="C20" s="41"/>
      <c r="D20" s="402"/>
      <c r="E20" s="425"/>
      <c r="F20" s="234" t="str">
        <f>IF(D19="","",IF(D19&gt;30000,"　入力金額が年度上限を越えています",""))</f>
        <v/>
      </c>
      <c r="G20" s="232"/>
      <c r="H20" s="232"/>
      <c r="I20" s="232"/>
      <c r="J20" s="233"/>
      <c r="L20" s="155"/>
      <c r="M20" s="113"/>
      <c r="N20" s="135"/>
      <c r="O20" s="149"/>
      <c r="P20" s="113"/>
      <c r="Q20" s="113"/>
      <c r="R20" s="115"/>
    </row>
    <row r="21" spans="1:19" ht="21" customHeight="1" thickBot="1" x14ac:dyDescent="0.3">
      <c r="A21" s="42"/>
      <c r="B21" s="412" t="str">
        <f>IF($A15="","月計",MONTH(A15)&amp;"月計")</f>
        <v>4月計</v>
      </c>
      <c r="C21" s="413"/>
      <c r="D21" s="422">
        <f>SUM(L17:O17)</f>
        <v>0</v>
      </c>
      <c r="E21" s="423"/>
      <c r="F21" s="391"/>
      <c r="G21" s="392"/>
      <c r="H21" s="392"/>
      <c r="I21" s="392"/>
      <c r="J21" s="393"/>
      <c r="L21" s="156"/>
      <c r="M21" s="114"/>
      <c r="N21" s="157"/>
      <c r="O21" s="149"/>
      <c r="P21" s="114"/>
      <c r="Q21" s="114"/>
      <c r="R21" s="116"/>
    </row>
    <row r="22" spans="1:19" ht="21" customHeight="1" x14ac:dyDescent="0.25">
      <c r="A22" s="30"/>
      <c r="B22" s="31" t="s">
        <v>0</v>
      </c>
      <c r="C22" s="32"/>
      <c r="D22" s="398"/>
      <c r="E22" s="399"/>
      <c r="F22" s="31" t="s">
        <v>114</v>
      </c>
      <c r="G22" s="33"/>
      <c r="H22" s="33"/>
      <c r="I22" s="33"/>
      <c r="J22" s="34"/>
      <c r="L22" s="147">
        <f>IF(A26="",0,IF(D22="",0,MIN(D22,L26)))</f>
        <v>0</v>
      </c>
      <c r="M22" s="112"/>
      <c r="N22" s="159"/>
      <c r="O22" s="248"/>
      <c r="P22" s="112"/>
      <c r="Q22" s="112"/>
      <c r="R22" s="117"/>
    </row>
    <row r="23" spans="1:19" ht="21" customHeight="1" x14ac:dyDescent="0.25">
      <c r="A23" s="35"/>
      <c r="B23" s="36" t="s">
        <v>2</v>
      </c>
      <c r="C23" s="37"/>
      <c r="D23" s="398"/>
      <c r="E23" s="399"/>
      <c r="F23" s="36" t="s">
        <v>114</v>
      </c>
      <c r="G23" s="38"/>
      <c r="H23" s="38"/>
      <c r="I23" s="38"/>
      <c r="J23" s="39"/>
      <c r="L23" s="155">
        <f>IF($D22&gt;D26,0,IF($D22+D23&lt;D26,D23,D26-$D22))</f>
        <v>0</v>
      </c>
      <c r="M23" s="113"/>
      <c r="N23" s="160"/>
      <c r="O23" s="149"/>
      <c r="P23" s="113"/>
      <c r="Q23" s="113"/>
      <c r="R23" s="118"/>
    </row>
    <row r="24" spans="1:19" ht="21" customHeight="1" x14ac:dyDescent="0.25">
      <c r="A24" s="35"/>
      <c r="B24" s="36" t="s">
        <v>3</v>
      </c>
      <c r="C24" s="37"/>
      <c r="D24" s="398"/>
      <c r="E24" s="399"/>
      <c r="F24" s="36" t="s">
        <v>114</v>
      </c>
      <c r="G24" s="38"/>
      <c r="H24" s="38"/>
      <c r="I24" s="38"/>
      <c r="J24" s="39"/>
      <c r="L24" s="155">
        <f>IF($D22+$D23&gt;D26,0,IF($D22+$D23+D24&lt;D26,D24,D26-$D22-$D23))</f>
        <v>0</v>
      </c>
      <c r="M24" s="113"/>
      <c r="N24" s="160"/>
      <c r="O24" s="149"/>
      <c r="P24" s="184" t="s">
        <v>72</v>
      </c>
      <c r="Q24" s="113"/>
      <c r="R24" s="118"/>
    </row>
    <row r="25" spans="1:19" ht="21" customHeight="1" x14ac:dyDescent="0.25">
      <c r="A25" s="40"/>
      <c r="B25" s="36" t="s">
        <v>1</v>
      </c>
      <c r="C25" s="37"/>
      <c r="D25" s="398"/>
      <c r="E25" s="399"/>
      <c r="F25" s="36" t="s">
        <v>114</v>
      </c>
      <c r="G25" s="38"/>
      <c r="H25" s="38"/>
      <c r="I25" s="38"/>
      <c r="J25" s="39"/>
      <c r="L25" s="155">
        <f>IF($D22+$D23+$D24&gt;D26,0,IF($D22+$D23+$D24+D25&lt;D26,D25,D26-$D22-$D23-$D24))</f>
        <v>0</v>
      </c>
      <c r="M25" s="113"/>
      <c r="N25" s="161"/>
      <c r="O25" s="149"/>
      <c r="P25" s="181" t="s">
        <v>63</v>
      </c>
      <c r="Q25" s="113"/>
      <c r="R25" s="118"/>
    </row>
    <row r="26" spans="1:19" ht="15" customHeight="1" thickBot="1" x14ac:dyDescent="0.3">
      <c r="A26" s="411">
        <f>IF(A15="","",EOMONTH(A15,0)+1)</f>
        <v>44682</v>
      </c>
      <c r="B26" s="414" t="s">
        <v>9</v>
      </c>
      <c r="C26" s="415"/>
      <c r="D26" s="418">
        <f>IF($A$26="",0,IF(SUM(D22:E25)&lt;=$L$26,SUM(D22:E25),$L$26))</f>
        <v>0</v>
      </c>
      <c r="E26" s="419"/>
      <c r="F26" s="396" t="str">
        <f>IF('16号-1'!$Q$3=TRUE,"  ←　月計の上限額122,000円","  ←　月計の上限額97,000円")</f>
        <v xml:space="preserve">  ←　月計の上限額97,000円</v>
      </c>
      <c r="G26" s="397"/>
      <c r="H26" s="397"/>
      <c r="I26" s="394"/>
      <c r="J26" s="395"/>
      <c r="L26" s="151">
        <f>IF('16号-1'!$Q$3=TRUE,122000,97000)</f>
        <v>97000</v>
      </c>
      <c r="M26" s="113"/>
      <c r="N26" s="161"/>
      <c r="O26" s="149"/>
      <c r="P26" s="182" t="s">
        <v>64</v>
      </c>
      <c r="Q26" s="113"/>
      <c r="R26" s="115"/>
    </row>
    <row r="27" spans="1:19" ht="30" customHeight="1" thickBot="1" x14ac:dyDescent="0.3">
      <c r="A27" s="411"/>
      <c r="B27" s="416"/>
      <c r="C27" s="417"/>
      <c r="D27" s="420"/>
      <c r="E27" s="421"/>
      <c r="F27" s="384" t="str">
        <f>IF($A$15="",0,IF(SUM(D22:E25)&gt;$L$15,"　(1)～(4)の月計が上限額を超えています",""))</f>
        <v/>
      </c>
      <c r="G27" s="385"/>
      <c r="H27" s="385"/>
      <c r="I27" s="385"/>
      <c r="J27" s="386"/>
      <c r="L27" s="152"/>
      <c r="M27" s="125">
        <f>A26</f>
        <v>44682</v>
      </c>
      <c r="N27" s="108"/>
      <c r="O27" s="149"/>
      <c r="P27" s="183" t="s">
        <v>65</v>
      </c>
      <c r="Q27" s="113"/>
      <c r="R27" s="120"/>
    </row>
    <row r="28" spans="1:19" ht="15" customHeight="1" thickBot="1" x14ac:dyDescent="0.3">
      <c r="A28" s="35"/>
      <c r="B28" s="407" t="s">
        <v>12</v>
      </c>
      <c r="C28" s="408"/>
      <c r="D28" s="400"/>
      <c r="E28" s="401"/>
      <c r="F28" s="387" t="str">
        <f>IF('16号-1'!$Q$3=TRUE,"  ←　年度上限　420,000円","  ←　年度上限　120,000円")</f>
        <v xml:space="preserve">  ←　年度上限　120,000円</v>
      </c>
      <c r="G28" s="388"/>
      <c r="H28" s="388"/>
      <c r="I28" s="389"/>
      <c r="J28" s="390"/>
      <c r="L28" s="247">
        <f>IF($A26="",0,IF(SUM(D22:E25)&lt;=$L26,SUM(D22:E25),$L26))</f>
        <v>0</v>
      </c>
      <c r="M28" s="237"/>
      <c r="N28" s="246">
        <f>IF($A26="",0,IF($D30="",0,MIN(30000,$D30)))</f>
        <v>0</v>
      </c>
      <c r="O28" s="239">
        <f>IF($A26="",0,IF($D28="",0,MIN($P28,$D28)))</f>
        <v>0</v>
      </c>
      <c r="P28" s="151">
        <f>IF('16号-1'!$Q$3=TRUE,420000,120000)</f>
        <v>120000</v>
      </c>
      <c r="Q28" s="228">
        <f>A26</f>
        <v>44682</v>
      </c>
      <c r="R28" s="109">
        <f>IFERROR((DATEDIF('16号-1'!$Z$10,M27,"M")+1),"")</f>
        <v>12</v>
      </c>
      <c r="S28" s="89" t="str">
        <f>IF(R28="","",IF(R28&lt;13,"1年目","2年目"))</f>
        <v>1年目</v>
      </c>
    </row>
    <row r="29" spans="1:19" ht="15" customHeight="1" thickBot="1" x14ac:dyDescent="0.3">
      <c r="A29" s="35"/>
      <c r="B29" s="409"/>
      <c r="C29" s="410"/>
      <c r="D29" s="402"/>
      <c r="E29" s="403"/>
      <c r="F29" s="404" t="str">
        <f>IF(D28="","",IF(D28&gt;P28,"　入力金額が年度上限を越えています",""))</f>
        <v/>
      </c>
      <c r="G29" s="405"/>
      <c r="H29" s="405"/>
      <c r="I29" s="405"/>
      <c r="J29" s="406"/>
      <c r="L29" s="153"/>
      <c r="M29" s="154"/>
      <c r="N29" s="160"/>
      <c r="O29" s="229"/>
      <c r="P29" s="230"/>
      <c r="Q29" s="228"/>
      <c r="R29" s="231"/>
    </row>
    <row r="30" spans="1:19" ht="15" customHeight="1" x14ac:dyDescent="0.25">
      <c r="A30" s="35"/>
      <c r="B30" s="407" t="s">
        <v>8</v>
      </c>
      <c r="C30" s="235"/>
      <c r="D30" s="400"/>
      <c r="E30" s="424"/>
      <c r="F30" s="225" t="s">
        <v>32</v>
      </c>
      <c r="G30" s="226"/>
      <c r="H30" s="226"/>
      <c r="I30" s="226"/>
      <c r="J30" s="227"/>
      <c r="L30" s="155"/>
      <c r="M30" s="113"/>
      <c r="N30" s="135"/>
      <c r="O30" s="162"/>
      <c r="P30" s="113"/>
      <c r="Q30" s="113"/>
      <c r="R30" s="121"/>
    </row>
    <row r="31" spans="1:19" ht="15" customHeight="1" x14ac:dyDescent="0.25">
      <c r="A31" s="35"/>
      <c r="B31" s="409"/>
      <c r="C31" s="41"/>
      <c r="D31" s="402"/>
      <c r="E31" s="425"/>
      <c r="F31" s="234" t="str">
        <f>IF(D30="","",IF(D30&gt;30000,"　入力金額が年度上限を越えています",""))</f>
        <v/>
      </c>
      <c r="G31" s="232"/>
      <c r="H31" s="232"/>
      <c r="I31" s="232"/>
      <c r="J31" s="233"/>
      <c r="L31" s="155"/>
      <c r="M31" s="113"/>
      <c r="N31" s="135"/>
      <c r="O31" s="162"/>
      <c r="P31" s="113"/>
      <c r="Q31" s="113"/>
      <c r="R31" s="115"/>
    </row>
    <row r="32" spans="1:19" ht="21" customHeight="1" thickBot="1" x14ac:dyDescent="0.3">
      <c r="A32" s="42"/>
      <c r="B32" s="412" t="str">
        <f>IF($A26="","月計",MONTH(A26)&amp;"月計")</f>
        <v>5月計</v>
      </c>
      <c r="C32" s="413"/>
      <c r="D32" s="431">
        <f>SUM(L28:O28)</f>
        <v>0</v>
      </c>
      <c r="E32" s="423"/>
      <c r="F32" s="391"/>
      <c r="G32" s="392"/>
      <c r="H32" s="392"/>
      <c r="I32" s="392"/>
      <c r="J32" s="393"/>
      <c r="L32" s="156"/>
      <c r="M32" s="114"/>
      <c r="N32" s="163"/>
      <c r="O32" s="149"/>
      <c r="P32" s="114"/>
      <c r="Q32" s="114"/>
      <c r="R32" s="116"/>
    </row>
    <row r="33" spans="1:19" ht="21" customHeight="1" x14ac:dyDescent="0.25">
      <c r="A33" s="30"/>
      <c r="B33" s="31" t="s">
        <v>0</v>
      </c>
      <c r="C33" s="32"/>
      <c r="D33" s="398"/>
      <c r="E33" s="399"/>
      <c r="F33" s="31" t="s">
        <v>114</v>
      </c>
      <c r="G33" s="33"/>
      <c r="H33" s="33"/>
      <c r="I33" s="33"/>
      <c r="J33" s="34"/>
      <c r="L33" s="147">
        <f>IF(A37="",0,IF(D33="",0,MIN(D33,L37)))</f>
        <v>0</v>
      </c>
      <c r="M33" s="112"/>
      <c r="N33" s="164"/>
      <c r="O33" s="248"/>
      <c r="P33" s="112"/>
      <c r="Q33" s="112"/>
      <c r="R33" s="117"/>
    </row>
    <row r="34" spans="1:19" ht="21" customHeight="1" x14ac:dyDescent="0.25">
      <c r="A34" s="35"/>
      <c r="B34" s="36" t="s">
        <v>2</v>
      </c>
      <c r="C34" s="37"/>
      <c r="D34" s="398"/>
      <c r="E34" s="399"/>
      <c r="F34" s="36" t="s">
        <v>114</v>
      </c>
      <c r="G34" s="38"/>
      <c r="H34" s="38"/>
      <c r="I34" s="38"/>
      <c r="J34" s="39"/>
      <c r="L34" s="155">
        <f>IF($D33&gt;D37,0,IF($D33+D34&lt;D37,D34,D37-$D33))</f>
        <v>0</v>
      </c>
      <c r="M34" s="113"/>
      <c r="N34" s="136"/>
      <c r="O34" s="149"/>
      <c r="P34" s="113"/>
      <c r="Q34" s="113"/>
      <c r="R34" s="118"/>
    </row>
    <row r="35" spans="1:19" ht="21" customHeight="1" x14ac:dyDescent="0.25">
      <c r="A35" s="35"/>
      <c r="B35" s="36" t="s">
        <v>3</v>
      </c>
      <c r="C35" s="37"/>
      <c r="D35" s="398"/>
      <c r="E35" s="399"/>
      <c r="F35" s="36" t="s">
        <v>114</v>
      </c>
      <c r="G35" s="38"/>
      <c r="H35" s="38"/>
      <c r="I35" s="38"/>
      <c r="J35" s="39"/>
      <c r="L35" s="155">
        <f>IF($D33+$D34&gt;D37,0,IF($D33+$D34+D35&lt;D37,D35,D37-$D33-$D34))</f>
        <v>0</v>
      </c>
      <c r="M35" s="113"/>
      <c r="N35" s="136"/>
      <c r="O35" s="149"/>
      <c r="P35" s="184" t="s">
        <v>72</v>
      </c>
      <c r="Q35" s="113"/>
      <c r="R35" s="118"/>
    </row>
    <row r="36" spans="1:19" ht="21" customHeight="1" x14ac:dyDescent="0.25">
      <c r="A36" s="40"/>
      <c r="B36" s="36" t="s">
        <v>1</v>
      </c>
      <c r="C36" s="37"/>
      <c r="D36" s="398"/>
      <c r="E36" s="399"/>
      <c r="F36" s="36" t="s">
        <v>114</v>
      </c>
      <c r="G36" s="38"/>
      <c r="H36" s="38"/>
      <c r="I36" s="38"/>
      <c r="J36" s="39"/>
      <c r="L36" s="155">
        <f>IF($D33+$D34+$D35&gt;D37,0,IF($D33+$D34+$D35+D36&lt;D37,D36,D37-$D33-$D34-$D35))</f>
        <v>0</v>
      </c>
      <c r="M36" s="113"/>
      <c r="N36" s="136"/>
      <c r="O36" s="149"/>
      <c r="P36" s="181" t="s">
        <v>66</v>
      </c>
      <c r="Q36" s="113"/>
      <c r="R36" s="118"/>
    </row>
    <row r="37" spans="1:19" ht="15" customHeight="1" thickBot="1" x14ac:dyDescent="0.3">
      <c r="A37" s="411">
        <f>IF(A26="","",EOMONTH(A26,0)+1)</f>
        <v>44713</v>
      </c>
      <c r="B37" s="414" t="s">
        <v>9</v>
      </c>
      <c r="C37" s="415"/>
      <c r="D37" s="418">
        <f>IF($A$37="",0,IF(SUM(D33:E36)&lt;=$L$37,SUM(D33:E36),$L$37))</f>
        <v>0</v>
      </c>
      <c r="E37" s="419"/>
      <c r="F37" s="396" t="str">
        <f>IF('16号-1'!$Q$3=TRUE,"  ←　月計の上限額122,000円","  ←　月計の上限額97,000円")</f>
        <v xml:space="preserve">  ←　月計の上限額97,000円</v>
      </c>
      <c r="G37" s="397"/>
      <c r="H37" s="397"/>
      <c r="I37" s="394"/>
      <c r="J37" s="395"/>
      <c r="L37" s="151">
        <f>IF('16号-1'!$Q$3=TRUE,122000,97000)</f>
        <v>97000</v>
      </c>
      <c r="P37" s="182" t="s">
        <v>67</v>
      </c>
      <c r="R37" s="115"/>
    </row>
    <row r="38" spans="1:19" ht="30" customHeight="1" thickBot="1" x14ac:dyDescent="0.3">
      <c r="A38" s="411"/>
      <c r="B38" s="416"/>
      <c r="C38" s="417"/>
      <c r="D38" s="420"/>
      <c r="E38" s="421"/>
      <c r="F38" s="384" t="str">
        <f>IF($A$15="",0,IF(SUM(D33:E36)&gt;$L$15,"　(1)～(4)の月計が上限額を超えています",""))</f>
        <v/>
      </c>
      <c r="G38" s="385"/>
      <c r="H38" s="385"/>
      <c r="I38" s="385"/>
      <c r="J38" s="386"/>
      <c r="L38" s="152"/>
      <c r="M38" s="125">
        <f>A37</f>
        <v>44713</v>
      </c>
      <c r="N38" s="136"/>
      <c r="O38" s="149"/>
      <c r="P38" s="183" t="s">
        <v>68</v>
      </c>
      <c r="Q38" s="119"/>
      <c r="R38" s="120"/>
    </row>
    <row r="39" spans="1:19" ht="15" customHeight="1" thickBot="1" x14ac:dyDescent="0.3">
      <c r="A39" s="35"/>
      <c r="B39" s="407" t="s">
        <v>12</v>
      </c>
      <c r="C39" s="408"/>
      <c r="D39" s="400"/>
      <c r="E39" s="401"/>
      <c r="F39" s="387" t="str">
        <f>IF('16号-1'!$Q$3=TRUE,"  ←　年度上限　420,000円","  ←　年度上限　120,000円")</f>
        <v xml:space="preserve">  ←　年度上限　120,000円</v>
      </c>
      <c r="G39" s="388"/>
      <c r="H39" s="388"/>
      <c r="I39" s="389"/>
      <c r="J39" s="390"/>
      <c r="L39" s="247">
        <f>IF($A37="",0,IF(SUM(D33:E36)&lt;=$L37,SUM(D33:E36),$L37))</f>
        <v>0</v>
      </c>
      <c r="M39" s="237"/>
      <c r="N39" s="246">
        <f>IF($A37="",0,IF($D41="",0,MIN(30000,$D41)))</f>
        <v>0</v>
      </c>
      <c r="O39" s="239">
        <f>IF($A37="",0,IF($D39="",0,MIN($P39,$D39)))</f>
        <v>0</v>
      </c>
      <c r="P39" s="151">
        <f>IF('16号-1'!$Q$3=TRUE,420000,120000)</f>
        <v>120000</v>
      </c>
      <c r="Q39" s="228">
        <f>A37</f>
        <v>44713</v>
      </c>
      <c r="R39" s="109">
        <f>IFERROR((DATEDIF('16号-1'!$Z$10,M38,"M")+1),"")</f>
        <v>13</v>
      </c>
      <c r="S39" s="89" t="str">
        <f>IF(R39="","",IF(R39&lt;13,"1年目","2年目"))</f>
        <v>2年目</v>
      </c>
    </row>
    <row r="40" spans="1:19" ht="15" customHeight="1" thickBot="1" x14ac:dyDescent="0.3">
      <c r="A40" s="35"/>
      <c r="B40" s="409"/>
      <c r="C40" s="410"/>
      <c r="D40" s="402"/>
      <c r="E40" s="403"/>
      <c r="F40" s="404" t="str">
        <f>IF(D39="","",IF(D39&gt;P39,"　入力金額が年度上限を越えています",""))</f>
        <v/>
      </c>
      <c r="G40" s="405"/>
      <c r="H40" s="405"/>
      <c r="I40" s="405"/>
      <c r="J40" s="406"/>
      <c r="L40" s="165"/>
      <c r="M40" s="166"/>
      <c r="N40" s="136"/>
      <c r="O40" s="229"/>
      <c r="P40" s="230"/>
      <c r="Q40" s="228"/>
      <c r="R40" s="231"/>
    </row>
    <row r="41" spans="1:19" ht="15" customHeight="1" x14ac:dyDescent="0.25">
      <c r="A41" s="35"/>
      <c r="B41" s="407" t="s">
        <v>8</v>
      </c>
      <c r="C41" s="235"/>
      <c r="D41" s="400"/>
      <c r="E41" s="424"/>
      <c r="F41" s="225" t="s">
        <v>32</v>
      </c>
      <c r="G41" s="226"/>
      <c r="H41" s="226"/>
      <c r="I41" s="226"/>
      <c r="J41" s="227"/>
      <c r="L41" s="155"/>
      <c r="M41" s="113"/>
      <c r="N41" s="135"/>
      <c r="O41" s="162"/>
      <c r="P41" s="113"/>
      <c r="Q41" s="113"/>
      <c r="R41" s="121"/>
    </row>
    <row r="42" spans="1:19" ht="15" customHeight="1" x14ac:dyDescent="0.25">
      <c r="A42" s="35"/>
      <c r="B42" s="409"/>
      <c r="C42" s="41"/>
      <c r="D42" s="402"/>
      <c r="E42" s="425"/>
      <c r="F42" s="234" t="str">
        <f>IF(D41="","",IF(D41&gt;30000,"　入力金額が年度上限を越えています",""))</f>
        <v/>
      </c>
      <c r="G42" s="232"/>
      <c r="H42" s="232"/>
      <c r="I42" s="232"/>
      <c r="J42" s="233"/>
      <c r="L42" s="155"/>
      <c r="M42" s="113"/>
      <c r="N42" s="135"/>
      <c r="O42" s="162"/>
      <c r="P42" s="113"/>
      <c r="Q42" s="113"/>
      <c r="R42" s="115"/>
    </row>
    <row r="43" spans="1:19" ht="21" customHeight="1" thickBot="1" x14ac:dyDescent="0.3">
      <c r="A43" s="42"/>
      <c r="B43" s="412" t="str">
        <f>IF($A37="","月計",MONTH(A37)&amp;"月計")</f>
        <v>6月計</v>
      </c>
      <c r="C43" s="413"/>
      <c r="D43" s="431">
        <f>SUM(L39:O39)</f>
        <v>0</v>
      </c>
      <c r="E43" s="423"/>
      <c r="F43" s="391"/>
      <c r="G43" s="392"/>
      <c r="H43" s="392"/>
      <c r="I43" s="392"/>
      <c r="J43" s="393"/>
      <c r="L43" s="156"/>
      <c r="M43" s="114"/>
      <c r="N43" s="167"/>
      <c r="O43" s="149"/>
      <c r="P43" s="114"/>
      <c r="Q43" s="114"/>
      <c r="R43" s="116"/>
    </row>
    <row r="44" spans="1:19" ht="21" customHeight="1" x14ac:dyDescent="0.25">
      <c r="A44" s="30"/>
      <c r="B44" s="31" t="s">
        <v>0</v>
      </c>
      <c r="C44" s="32"/>
      <c r="D44" s="398"/>
      <c r="E44" s="399"/>
      <c r="F44" s="31" t="s">
        <v>114</v>
      </c>
      <c r="G44" s="33"/>
      <c r="H44" s="33"/>
      <c r="I44" s="33"/>
      <c r="J44" s="34"/>
      <c r="L44" s="147">
        <f>IF(A48="",0,IF(D44="",0,MIN(D44,L48)))</f>
        <v>0</v>
      </c>
      <c r="M44" s="112"/>
      <c r="N44" s="168"/>
      <c r="O44" s="248"/>
      <c r="P44" s="112"/>
      <c r="Q44" s="112"/>
      <c r="R44" s="117"/>
    </row>
    <row r="45" spans="1:19" ht="21" customHeight="1" x14ac:dyDescent="0.25">
      <c r="A45" s="35"/>
      <c r="B45" s="36" t="s">
        <v>2</v>
      </c>
      <c r="C45" s="37"/>
      <c r="D45" s="398"/>
      <c r="E45" s="399"/>
      <c r="F45" s="36" t="s">
        <v>114</v>
      </c>
      <c r="G45" s="38"/>
      <c r="H45" s="38"/>
      <c r="I45" s="38"/>
      <c r="J45" s="39"/>
      <c r="L45" s="155">
        <f>IF($D44&gt;D48,0,IF($D44+D45&lt;D48,D45,D48-$D44))</f>
        <v>0</v>
      </c>
      <c r="M45" s="113"/>
      <c r="N45" s="136"/>
      <c r="O45" s="149"/>
      <c r="P45" s="113"/>
      <c r="Q45" s="113"/>
      <c r="R45" s="118"/>
    </row>
    <row r="46" spans="1:19" ht="21" customHeight="1" x14ac:dyDescent="0.25">
      <c r="A46" s="35"/>
      <c r="B46" s="36" t="s">
        <v>3</v>
      </c>
      <c r="C46" s="37"/>
      <c r="D46" s="398"/>
      <c r="E46" s="399"/>
      <c r="F46" s="36" t="s">
        <v>114</v>
      </c>
      <c r="G46" s="38"/>
      <c r="H46" s="38"/>
      <c r="I46" s="38"/>
      <c r="J46" s="39"/>
      <c r="L46" s="155">
        <f>IF($D44+$D45&gt;D48,0,IF($D44+$D45+D46&lt;D48,D46,D48-$D44-$D45))</f>
        <v>0</v>
      </c>
      <c r="M46" s="113"/>
      <c r="N46" s="136"/>
      <c r="O46" s="149"/>
      <c r="P46" s="184" t="s">
        <v>72</v>
      </c>
      <c r="Q46" s="113"/>
      <c r="R46" s="118"/>
    </row>
    <row r="47" spans="1:19" ht="21" customHeight="1" x14ac:dyDescent="0.25">
      <c r="A47" s="190"/>
      <c r="B47" s="36" t="s">
        <v>1</v>
      </c>
      <c r="C47" s="37"/>
      <c r="D47" s="398"/>
      <c r="E47" s="399"/>
      <c r="F47" s="36" t="s">
        <v>114</v>
      </c>
      <c r="G47" s="38"/>
      <c r="H47" s="38"/>
      <c r="I47" s="38"/>
      <c r="J47" s="39"/>
      <c r="L47" s="155">
        <f>IF($D44+$D45+$D46&gt;D48,0,IF($D44+$D45+$D46+D47&lt;D48,D47,D48-$D44-$D45-$D46))</f>
        <v>0</v>
      </c>
      <c r="M47" s="113"/>
      <c r="N47" s="136"/>
      <c r="O47" s="149"/>
      <c r="P47" s="181" t="s">
        <v>69</v>
      </c>
      <c r="Q47" s="113"/>
      <c r="R47" s="118"/>
    </row>
    <row r="48" spans="1:19" ht="15" customHeight="1" thickBot="1" x14ac:dyDescent="0.3">
      <c r="A48" s="411">
        <f>IF(A37="","",EOMONTH(A37,0)+1)</f>
        <v>44743</v>
      </c>
      <c r="B48" s="414" t="s">
        <v>9</v>
      </c>
      <c r="C48" s="415"/>
      <c r="D48" s="418">
        <f>IF($A$48="",0,IF(SUM(D44:E47)&lt;=$L$48,SUM(D44:E47),$L$48))</f>
        <v>0</v>
      </c>
      <c r="E48" s="419"/>
      <c r="F48" s="396" t="str">
        <f>IF('16号-1'!$Q$3=TRUE,"  ←　月計の上限額122,000円","  ←　月計の上限額97,000円")</f>
        <v xml:space="preserve">  ←　月計の上限額97,000円</v>
      </c>
      <c r="G48" s="397"/>
      <c r="H48" s="397"/>
      <c r="I48" s="394"/>
      <c r="J48" s="463"/>
      <c r="L48" s="151">
        <f>IF('16号-1'!$Q$3=TRUE,122000,97000)</f>
        <v>97000</v>
      </c>
      <c r="M48" s="113"/>
      <c r="N48" s="136"/>
      <c r="O48" s="149"/>
      <c r="P48" s="182" t="s">
        <v>70</v>
      </c>
      <c r="Q48" s="113"/>
      <c r="R48" s="115"/>
    </row>
    <row r="49" spans="1:19" ht="30" customHeight="1" thickBot="1" x14ac:dyDescent="0.3">
      <c r="A49" s="411"/>
      <c r="B49" s="416"/>
      <c r="C49" s="417"/>
      <c r="D49" s="420"/>
      <c r="E49" s="421"/>
      <c r="F49" s="384" t="str">
        <f>IF($A$15="",0,IF(SUM(D44:E47)&gt;$L$15,"　(1)～(4)の月計が上限額を超えています",""))</f>
        <v/>
      </c>
      <c r="G49" s="385"/>
      <c r="H49" s="385"/>
      <c r="I49" s="385"/>
      <c r="J49" s="386"/>
      <c r="L49" s="152"/>
      <c r="M49" s="125">
        <f>A48</f>
        <v>44743</v>
      </c>
      <c r="N49" s="136"/>
      <c r="O49" s="149"/>
      <c r="P49" s="183" t="s">
        <v>71</v>
      </c>
      <c r="Q49" s="113"/>
      <c r="R49" s="120"/>
    </row>
    <row r="50" spans="1:19" ht="15" customHeight="1" thickBot="1" x14ac:dyDescent="0.3">
      <c r="A50" s="35"/>
      <c r="B50" s="407" t="s">
        <v>12</v>
      </c>
      <c r="C50" s="408"/>
      <c r="D50" s="400"/>
      <c r="E50" s="401"/>
      <c r="F50" s="387" t="str">
        <f>IF('16号-1'!$Q$3=TRUE,"  ←　年度上限　420,000円","  ←　年度上限　120,000円")</f>
        <v xml:space="preserve">  ←　年度上限　120,000円</v>
      </c>
      <c r="G50" s="388"/>
      <c r="H50" s="388"/>
      <c r="I50" s="389"/>
      <c r="J50" s="390"/>
      <c r="L50" s="247">
        <f>IF($A48="",0,IF(SUM(D44:E47)&lt;=$L48,SUM(D44:E47),$L48))</f>
        <v>0</v>
      </c>
      <c r="M50" s="237"/>
      <c r="N50" s="246">
        <f>IF($A48="",0,IF($D52="",0,MIN(30000,$D52)))</f>
        <v>0</v>
      </c>
      <c r="O50" s="239">
        <f>IF($A48="",0,IF($D50="",0,MIN($P50,$D50)))</f>
        <v>0</v>
      </c>
      <c r="P50" s="151">
        <f>IF('16号-1'!$Q$3=TRUE,420000,120000)</f>
        <v>120000</v>
      </c>
      <c r="Q50" s="228">
        <f>A48</f>
        <v>44743</v>
      </c>
      <c r="R50" s="109">
        <f>IFERROR((DATEDIF('16号-1'!$Z$10,M49,"M")+1),"")</f>
        <v>14</v>
      </c>
      <c r="S50" s="89" t="str">
        <f>IF(R50="","",IF(R50&lt;13,"1年目","2年目"))</f>
        <v>2年目</v>
      </c>
    </row>
    <row r="51" spans="1:19" ht="15" customHeight="1" thickBot="1" x14ac:dyDescent="0.3">
      <c r="A51" s="35"/>
      <c r="B51" s="409"/>
      <c r="C51" s="410"/>
      <c r="D51" s="402"/>
      <c r="E51" s="403"/>
      <c r="F51" s="404" t="str">
        <f>IF(D50="","",IF(D50&gt;P50,"　入力金額が年度上限を越えています",""))</f>
        <v/>
      </c>
      <c r="G51" s="405"/>
      <c r="H51" s="405"/>
      <c r="I51" s="405"/>
      <c r="J51" s="406"/>
      <c r="L51" s="169"/>
      <c r="M51" s="166"/>
      <c r="N51" s="136"/>
      <c r="O51" s="229"/>
      <c r="P51" s="230"/>
      <c r="Q51" s="228"/>
      <c r="R51" s="231"/>
    </row>
    <row r="52" spans="1:19" ht="15" customHeight="1" x14ac:dyDescent="0.25">
      <c r="A52" s="35"/>
      <c r="B52" s="407" t="s">
        <v>8</v>
      </c>
      <c r="C52" s="235"/>
      <c r="D52" s="400"/>
      <c r="E52" s="424"/>
      <c r="F52" s="225" t="s">
        <v>32</v>
      </c>
      <c r="G52" s="226"/>
      <c r="H52" s="226"/>
      <c r="I52" s="226"/>
      <c r="J52" s="227"/>
      <c r="L52" s="170"/>
      <c r="M52" s="113"/>
      <c r="N52" s="135"/>
      <c r="O52" s="162"/>
      <c r="P52" s="113"/>
      <c r="Q52" s="113"/>
      <c r="R52" s="121"/>
    </row>
    <row r="53" spans="1:19" ht="15" customHeight="1" x14ac:dyDescent="0.25">
      <c r="A53" s="35"/>
      <c r="B53" s="409"/>
      <c r="C53" s="41"/>
      <c r="D53" s="402"/>
      <c r="E53" s="425"/>
      <c r="F53" s="234" t="str">
        <f>IF(D52="","",IF(D52&gt;30000,"　入力金額が年度上限を越えています",""))</f>
        <v/>
      </c>
      <c r="G53" s="232"/>
      <c r="H53" s="232"/>
      <c r="I53" s="232"/>
      <c r="J53" s="233"/>
      <c r="L53" s="170"/>
      <c r="M53" s="113"/>
      <c r="N53" s="135"/>
      <c r="O53" s="162"/>
      <c r="P53" s="113"/>
      <c r="Q53" s="113"/>
      <c r="R53" s="115"/>
    </row>
    <row r="54" spans="1:19" ht="21" customHeight="1" thickBot="1" x14ac:dyDescent="0.3">
      <c r="A54" s="42"/>
      <c r="B54" s="412" t="str">
        <f>IF($A48="","月計",MONTH(A48)&amp;"月計")</f>
        <v>7月計</v>
      </c>
      <c r="C54" s="413"/>
      <c r="D54" s="431">
        <f>SUM(L50:O50)</f>
        <v>0</v>
      </c>
      <c r="E54" s="423"/>
      <c r="F54" s="391"/>
      <c r="G54" s="392"/>
      <c r="H54" s="392"/>
      <c r="I54" s="392"/>
      <c r="J54" s="393"/>
      <c r="L54" s="171"/>
      <c r="M54" s="114"/>
      <c r="N54" s="167"/>
      <c r="O54" s="149"/>
      <c r="P54" s="113"/>
      <c r="Q54" s="113"/>
      <c r="R54" s="257"/>
    </row>
    <row r="55" spans="1:19" ht="21" customHeight="1" x14ac:dyDescent="0.25">
      <c r="A55" s="456" t="s">
        <v>49</v>
      </c>
      <c r="B55" s="31" t="s">
        <v>0</v>
      </c>
      <c r="C55" s="32"/>
      <c r="D55" s="442">
        <f>SUM(L44,L33,L22,L11)</f>
        <v>0</v>
      </c>
      <c r="E55" s="443"/>
      <c r="F55" s="450"/>
      <c r="G55" s="451"/>
      <c r="H55" s="451"/>
      <c r="I55" s="451"/>
      <c r="J55" s="452"/>
      <c r="L55" s="149" t="s">
        <v>102</v>
      </c>
      <c r="M55" s="136" t="s">
        <v>95</v>
      </c>
      <c r="N55" s="137" t="s">
        <v>96</v>
      </c>
      <c r="O55" s="245">
        <f>SUMIF(S17:S50,"1年目",O17:O50)</f>
        <v>0</v>
      </c>
      <c r="P55" s="255">
        <f>IF($M$6-Q57&gt;$P$17,$P$17,$M$6-Q57)</f>
        <v>120000</v>
      </c>
      <c r="Q55" s="244">
        <f>IF(O55="",0,MIN(O55,P55))</f>
        <v>0</v>
      </c>
      <c r="R55" s="256"/>
    </row>
    <row r="56" spans="1:19" ht="21" customHeight="1" x14ac:dyDescent="0.25">
      <c r="A56" s="457"/>
      <c r="B56" s="36" t="s">
        <v>2</v>
      </c>
      <c r="C56" s="37"/>
      <c r="D56" s="440">
        <f>L12+L23+L34+L45</f>
        <v>0</v>
      </c>
      <c r="E56" s="441"/>
      <c r="F56" s="453"/>
      <c r="G56" s="454"/>
      <c r="H56" s="454"/>
      <c r="I56" s="454"/>
      <c r="J56" s="455"/>
      <c r="L56" s="144"/>
      <c r="N56" s="136" t="s">
        <v>97</v>
      </c>
      <c r="O56" s="245">
        <f>SUMIF(S17:S50,"2年目",O17:O50)</f>
        <v>0</v>
      </c>
      <c r="P56" s="255">
        <f>IF($M$6-Q58&gt;$P$17,$P$17,$M$6-Q58)</f>
        <v>120000</v>
      </c>
      <c r="Q56" s="244">
        <f>IF(O56="",0,MIN(O56,P56))</f>
        <v>0</v>
      </c>
      <c r="R56" s="256"/>
    </row>
    <row r="57" spans="1:19" ht="21" customHeight="1" x14ac:dyDescent="0.25">
      <c r="A57" s="457"/>
      <c r="B57" s="36" t="s">
        <v>3</v>
      </c>
      <c r="C57" s="37"/>
      <c r="D57" s="440">
        <f>L13+L24+L35+L46</f>
        <v>0</v>
      </c>
      <c r="E57" s="441"/>
      <c r="F57" s="453"/>
      <c r="G57" s="454"/>
      <c r="H57" s="454"/>
      <c r="I57" s="454"/>
      <c r="J57" s="455"/>
      <c r="L57" s="144" t="s">
        <v>103</v>
      </c>
      <c r="M57" s="113" t="s">
        <v>104</v>
      </c>
      <c r="N57" s="137" t="s">
        <v>96</v>
      </c>
      <c r="O57" s="245">
        <f>SUMIF(S17:S50,"1年目",L17:L50)</f>
        <v>0</v>
      </c>
      <c r="P57" s="254"/>
      <c r="Q57" s="255">
        <f>IF(O57="",0,SUM('16号-2①'!O57,'16号-2②'!O57,'16号-2③'!O57,'16号-2④'!O57))</f>
        <v>0</v>
      </c>
    </row>
    <row r="58" spans="1:19" ht="21" customHeight="1" x14ac:dyDescent="0.25">
      <c r="A58" s="457"/>
      <c r="B58" s="36" t="s">
        <v>1</v>
      </c>
      <c r="C58" s="37"/>
      <c r="D58" s="440">
        <f>L14+L25+L36+L47</f>
        <v>0</v>
      </c>
      <c r="E58" s="441"/>
      <c r="F58" s="453"/>
      <c r="G58" s="454"/>
      <c r="H58" s="454"/>
      <c r="I58" s="454"/>
      <c r="J58" s="455"/>
      <c r="N58" s="136" t="s">
        <v>97</v>
      </c>
      <c r="O58" s="245">
        <f>SUMIF(S17:S51,"2年目",L17:L51)</f>
        <v>0</v>
      </c>
      <c r="P58" s="254"/>
      <c r="Q58" s="255">
        <f>IF(O58="",0,SUM('16号-2①'!O58,'16号-2②'!O58,'16号-2③'!O58,'16号-2④'!O58))</f>
        <v>0</v>
      </c>
    </row>
    <row r="59" spans="1:19" ht="21" customHeight="1" x14ac:dyDescent="0.25">
      <c r="A59" s="457"/>
      <c r="B59" s="461" t="s">
        <v>9</v>
      </c>
      <c r="C59" s="462"/>
      <c r="D59" s="436">
        <f>D15+D26+D37+D48</f>
        <v>0</v>
      </c>
      <c r="E59" s="437"/>
      <c r="F59" s="438" t="s">
        <v>77</v>
      </c>
      <c r="G59" s="439"/>
      <c r="H59" s="459" t="str">
        <f>IF('16号-1'!$Q$3=TRUE,"122,000円（※1）×月数","97,000円（※1）×月数")</f>
        <v>97,000円（※1）×月数</v>
      </c>
      <c r="I59" s="459"/>
      <c r="J59" s="460"/>
      <c r="L59" s="444"/>
      <c r="M59" s="446"/>
      <c r="N59" s="136"/>
      <c r="O59" s="144" t="s">
        <v>98</v>
      </c>
      <c r="P59" s="144" t="s">
        <v>99</v>
      </c>
      <c r="Q59" s="144" t="s">
        <v>101</v>
      </c>
    </row>
    <row r="60" spans="1:19" ht="21" customHeight="1" x14ac:dyDescent="0.25">
      <c r="A60" s="457"/>
      <c r="B60" s="36" t="s">
        <v>12</v>
      </c>
      <c r="C60" s="41"/>
      <c r="D60" s="440">
        <f>IF($A15="",0,SUM(Q55:Q56))</f>
        <v>0</v>
      </c>
      <c r="E60" s="441"/>
      <c r="F60" s="438" t="s">
        <v>78</v>
      </c>
      <c r="G60" s="439"/>
      <c r="H60" s="459" t="str">
        <f>IF('16号-1'!$Q$3=TRUE,"420,000円（※2）","120,000円（※2）")</f>
        <v>120,000円（※2）</v>
      </c>
      <c r="I60" s="459"/>
      <c r="J60" s="195"/>
      <c r="L60" s="445"/>
      <c r="M60" s="446"/>
      <c r="N60" s="136"/>
      <c r="O60" s="149"/>
      <c r="P60" s="113"/>
      <c r="Q60" s="258"/>
    </row>
    <row r="61" spans="1:19" ht="21" customHeight="1" x14ac:dyDescent="0.25">
      <c r="A61" s="457"/>
      <c r="B61" s="36" t="s">
        <v>8</v>
      </c>
      <c r="C61" s="41"/>
      <c r="D61" s="440">
        <f>IF($A15="",0,Q66)</f>
        <v>0</v>
      </c>
      <c r="E61" s="441"/>
      <c r="F61" s="124" t="s">
        <v>62</v>
      </c>
      <c r="G61" s="97"/>
      <c r="H61" s="97"/>
      <c r="I61" s="122"/>
      <c r="J61" s="98"/>
      <c r="L61" s="113"/>
      <c r="M61" s="113" t="s">
        <v>106</v>
      </c>
      <c r="N61" s="137" t="s">
        <v>96</v>
      </c>
      <c r="O61" s="259"/>
      <c r="P61" s="254"/>
      <c r="Q61" s="255">
        <f>SUM('16号-2①'!Q57,'16号-2①'!Q55,'16号-2②'!Q55,'16号-2③'!Q55,'16号-2④'!Q55)</f>
        <v>0</v>
      </c>
    </row>
    <row r="62" spans="1:19" ht="21.75" customHeight="1" thickBot="1" x14ac:dyDescent="0.3">
      <c r="A62" s="458"/>
      <c r="B62" s="412" t="s">
        <v>13</v>
      </c>
      <c r="C62" s="413"/>
      <c r="D62" s="431">
        <f>SUM(D59:E61)</f>
        <v>0</v>
      </c>
      <c r="E62" s="423"/>
      <c r="F62" s="99"/>
      <c r="G62" s="100"/>
      <c r="H62" s="100"/>
      <c r="I62" s="100"/>
      <c r="J62" s="101"/>
      <c r="N62" s="136" t="s">
        <v>97</v>
      </c>
      <c r="O62" s="259"/>
      <c r="P62" s="254"/>
      <c r="Q62" s="255">
        <f>SUM('16号-2①'!Q58,'16号-2①'!Q56,'16号-2②'!Q56,'16号-2③'!Q56,'16号-2④'!Q56)</f>
        <v>0</v>
      </c>
    </row>
    <row r="63" spans="1:19" ht="6.75" customHeight="1" x14ac:dyDescent="0.25">
      <c r="A63" s="199"/>
      <c r="B63" s="200"/>
      <c r="C63" s="200"/>
      <c r="D63" s="201"/>
      <c r="E63" s="201"/>
      <c r="F63" s="202"/>
      <c r="G63" s="202"/>
      <c r="H63" s="202"/>
      <c r="I63" s="202"/>
      <c r="J63" s="203"/>
    </row>
    <row r="64" spans="1:19" ht="15.75" customHeight="1" x14ac:dyDescent="0.25">
      <c r="A64" s="205" t="str">
        <f>CONCATENATE("※1 月額上限",IF('16号-1'!$Q$3=TRUE,"122,000円","97,000円"))</f>
        <v>※1 月額上限97,000円</v>
      </c>
      <c r="B64" s="200"/>
      <c r="C64" s="200"/>
      <c r="D64" s="201"/>
      <c r="E64" s="201"/>
      <c r="F64" s="202"/>
      <c r="G64" s="202"/>
      <c r="H64" s="202"/>
      <c r="I64" s="202"/>
      <c r="J64" s="203"/>
      <c r="K64" s="204"/>
      <c r="Q64" s="144" t="s">
        <v>101</v>
      </c>
    </row>
    <row r="65" spans="1:17" ht="15.75" customHeight="1" x14ac:dyDescent="0.25">
      <c r="A65" s="205" t="str">
        <f>CONCATENATE("※2 年間上限",IF('16号-1'!$Q$3=TRUE,"420,000円","120,000円"))</f>
        <v>※2 年間上限120,000円</v>
      </c>
      <c r="B65" s="196"/>
      <c r="C65" s="196"/>
      <c r="D65" s="196"/>
      <c r="E65" s="196"/>
      <c r="F65" s="196"/>
      <c r="G65" s="196"/>
      <c r="H65" s="196"/>
      <c r="I65" s="196"/>
      <c r="J65" s="196"/>
    </row>
    <row r="66" spans="1:17" ht="15.75" customHeight="1" x14ac:dyDescent="0.25">
      <c r="A66" s="205" t="str">
        <f>CONCATENATE("（※1※2の合計は年間上限",IF('16号-1'!$Q$3=TRUE,"1,500,000円","1,200,000円"),"）")</f>
        <v>（※1※2の合計は年間上限1,200,000円）</v>
      </c>
      <c r="B66" s="196"/>
      <c r="C66" s="196"/>
      <c r="D66" s="196"/>
      <c r="E66" s="196"/>
      <c r="F66" s="196"/>
      <c r="G66" s="196"/>
      <c r="H66" s="196"/>
      <c r="I66" s="196"/>
      <c r="J66" s="196"/>
      <c r="K66" s="107"/>
      <c r="L66" s="144" t="s">
        <v>116</v>
      </c>
      <c r="M66" s="88" t="s">
        <v>115</v>
      </c>
      <c r="N66" s="137" t="s">
        <v>117</v>
      </c>
      <c r="O66" s="245">
        <f>SUM(N17:N50)</f>
        <v>0</v>
      </c>
      <c r="P66" s="255">
        <v>180000</v>
      </c>
      <c r="Q66" s="244">
        <f>IF(O66="",0,MIN(O66,P66))</f>
        <v>0</v>
      </c>
    </row>
    <row r="67" spans="1:17" ht="21.95" customHeight="1" x14ac:dyDescent="0.25">
      <c r="A67" s="196"/>
      <c r="B67" s="196"/>
      <c r="C67" s="196"/>
      <c r="D67" s="196"/>
      <c r="E67" s="196"/>
      <c r="F67" s="196"/>
      <c r="G67" s="196"/>
      <c r="H67" s="196"/>
      <c r="I67" s="196"/>
      <c r="J67" s="196"/>
      <c r="N67" s="88"/>
    </row>
    <row r="68" spans="1:17" ht="9.75" customHeight="1" x14ac:dyDescent="0.25">
      <c r="A68" s="196"/>
      <c r="B68" s="196"/>
      <c r="C68" s="196"/>
      <c r="D68" s="196"/>
      <c r="E68" s="196"/>
      <c r="F68" s="196"/>
      <c r="G68" s="196"/>
      <c r="H68" s="196"/>
      <c r="I68" s="196"/>
      <c r="J68" s="196"/>
      <c r="N68" s="88"/>
    </row>
  </sheetData>
  <sheetProtection algorithmName="SHA-512" hashValue="8nS+8jzgsq0E88x10I0VArTVU4LF5dnNePOjm20/qc7H2h1I3VyJ3NOqeArIILT7vM0+cRm6XdCn0S9q01zGkw==" saltValue="pE+aeszwSwbUD43f/HbnqA==" spinCount="100000" sheet="1" objects="1" selectLockedCells="1"/>
  <mergeCells count="107">
    <mergeCell ref="L59:L60"/>
    <mergeCell ref="M59:M60"/>
    <mergeCell ref="L6:L7"/>
    <mergeCell ref="M6:M7"/>
    <mergeCell ref="A48:A49"/>
    <mergeCell ref="D44:E44"/>
    <mergeCell ref="F55:J58"/>
    <mergeCell ref="D48:E49"/>
    <mergeCell ref="A55:A62"/>
    <mergeCell ref="B48:C49"/>
    <mergeCell ref="B62:C62"/>
    <mergeCell ref="B54:C54"/>
    <mergeCell ref="D62:E62"/>
    <mergeCell ref="H60:I60"/>
    <mergeCell ref="H59:J59"/>
    <mergeCell ref="D61:E61"/>
    <mergeCell ref="B59:C59"/>
    <mergeCell ref="D60:E60"/>
    <mergeCell ref="F60:G60"/>
    <mergeCell ref="B50:C51"/>
    <mergeCell ref="B52:B53"/>
    <mergeCell ref="I48:J48"/>
    <mergeCell ref="F50:H50"/>
    <mergeCell ref="I50:J50"/>
    <mergeCell ref="F54:J54"/>
    <mergeCell ref="D59:E59"/>
    <mergeCell ref="F59:G59"/>
    <mergeCell ref="D57:E57"/>
    <mergeCell ref="D56:E56"/>
    <mergeCell ref="D58:E58"/>
    <mergeCell ref="D55:E55"/>
    <mergeCell ref="D54:E54"/>
    <mergeCell ref="D50:E51"/>
    <mergeCell ref="F51:J51"/>
    <mergeCell ref="D52:E53"/>
    <mergeCell ref="C6:J6"/>
    <mergeCell ref="D10:E10"/>
    <mergeCell ref="D11:E11"/>
    <mergeCell ref="D12:E12"/>
    <mergeCell ref="F49:J49"/>
    <mergeCell ref="C7:J7"/>
    <mergeCell ref="F8:G8"/>
    <mergeCell ref="C8:D8"/>
    <mergeCell ref="D32:E32"/>
    <mergeCell ref="D43:E43"/>
    <mergeCell ref="D45:E45"/>
    <mergeCell ref="D46:E46"/>
    <mergeCell ref="B21:C21"/>
    <mergeCell ref="B10:C10"/>
    <mergeCell ref="D47:E47"/>
    <mergeCell ref="F10:J10"/>
    <mergeCell ref="D35:E35"/>
    <mergeCell ref="D23:E23"/>
    <mergeCell ref="F32:J32"/>
    <mergeCell ref="F40:J40"/>
    <mergeCell ref="D41:E42"/>
    <mergeCell ref="D34:E34"/>
    <mergeCell ref="F43:J43"/>
    <mergeCell ref="F48:H48"/>
    <mergeCell ref="A15:A16"/>
    <mergeCell ref="A26:A27"/>
    <mergeCell ref="A37:A38"/>
    <mergeCell ref="B43:C43"/>
    <mergeCell ref="B37:C38"/>
    <mergeCell ref="B26:C27"/>
    <mergeCell ref="D26:E27"/>
    <mergeCell ref="D33:E33"/>
    <mergeCell ref="B32:C32"/>
    <mergeCell ref="D22:E22"/>
    <mergeCell ref="D24:E24"/>
    <mergeCell ref="B15:C16"/>
    <mergeCell ref="D15:E16"/>
    <mergeCell ref="D37:E38"/>
    <mergeCell ref="D21:E21"/>
    <mergeCell ref="D36:E36"/>
    <mergeCell ref="B17:C18"/>
    <mergeCell ref="D19:E20"/>
    <mergeCell ref="B19:B20"/>
    <mergeCell ref="D28:E29"/>
    <mergeCell ref="D30:E31"/>
    <mergeCell ref="B39:C40"/>
    <mergeCell ref="D39:E40"/>
    <mergeCell ref="B41:B42"/>
    <mergeCell ref="B4:H4"/>
    <mergeCell ref="F15:J15"/>
    <mergeCell ref="F16:J16"/>
    <mergeCell ref="F17:H17"/>
    <mergeCell ref="I17:J17"/>
    <mergeCell ref="F21:J21"/>
    <mergeCell ref="F39:H39"/>
    <mergeCell ref="I39:J39"/>
    <mergeCell ref="F38:J38"/>
    <mergeCell ref="I26:J26"/>
    <mergeCell ref="I28:J28"/>
    <mergeCell ref="F27:J27"/>
    <mergeCell ref="F37:H37"/>
    <mergeCell ref="I37:J37"/>
    <mergeCell ref="F26:H26"/>
    <mergeCell ref="F28:H28"/>
    <mergeCell ref="D13:E13"/>
    <mergeCell ref="D25:E25"/>
    <mergeCell ref="D14:E14"/>
    <mergeCell ref="D17:E18"/>
    <mergeCell ref="F18:J18"/>
    <mergeCell ref="F29:J29"/>
    <mergeCell ref="B28:C29"/>
    <mergeCell ref="B30:B31"/>
  </mergeCells>
  <phoneticPr fontId="2"/>
  <conditionalFormatting sqref="B48:J48 A50:A54 D54:J54 B49:E49 A44:C47 F44:J47">
    <cfRule type="expression" dxfId="10" priority="3">
      <formula>AND($A$48="",$A$15&lt;&gt;"")</formula>
    </cfRule>
  </conditionalFormatting>
  <conditionalFormatting sqref="B37:J37 A39:A43 D43:J43 B38:E38 A33:C36 F33:J36">
    <cfRule type="expression" dxfId="9" priority="1">
      <formula>AND($A$37="",$A$15&lt;&gt;"")</formula>
    </cfRule>
  </conditionalFormatting>
  <dataValidations count="4">
    <dataValidation type="whole" allowBlank="1" showInputMessage="1" showErrorMessage="1" errorTitle="入力値が不正です" error="年上限額を超えている、またはテキストが入力されています_x000a_" sqref="D17:E18 D39:E40 D28:E29 D50:E51" xr:uid="{696A82BA-3340-4302-980E-E1E262CC187C}">
      <formula1>0</formula1>
      <formula2>$P$17</formula2>
    </dataValidation>
    <dataValidation type="whole" allowBlank="1" showInputMessage="1" showErrorMessage="1" errorTitle="入力値が不正です" error="月上限額を超えている、またはテキストが入力されています" sqref="D19:E20 D41:E42 D30:E31 D52:E53" xr:uid="{FE94D81E-B218-42A9-B121-D653F60A825B}">
      <formula1>0</formula1>
      <formula2>30000</formula2>
    </dataValidation>
    <dataValidation type="whole" allowBlank="1" showInputMessage="1" showErrorMessage="1" error="入力金額が月上限額を超えています_x000a_（または入力金額が不正です）_x000a__x000a_" sqref="D12:E14 D23:E25 D34:E36 D45:E47" xr:uid="{AB866AEA-4B16-4A98-8710-ABB070BC9BCA}">
      <formula1>0</formula1>
      <formula2>$L$15</formula2>
    </dataValidation>
    <dataValidation type="whole" allowBlank="1" showInputMessage="1" showErrorMessage="1" errorTitle="入力値が不正です" error="月上限額を超えている、またはテキストが入力されています_x000a__x000a__x000a_" sqref="D11:E11 D33:E33 D22:E22 D44:E44" xr:uid="{9763E615-4341-40DF-AFD8-18C3C1CCA789}">
      <formula1>0</formula1>
      <formula2>$L$15</formula2>
    </dataValidation>
  </dataValidations>
  <printOptions horizontalCentered="1" verticalCentered="1"/>
  <pageMargins left="0.15748031496062992" right="0.15748031496062992" top="0.27559055118110237" bottom="0.27559055118110237" header="0.15748031496062992" footer="0.15748031496062992"/>
  <pageSetup paperSize="9" scale="71" fitToWidth="0" orientation="portrait" blackAndWhite="1" r:id="rId1"/>
  <headerFooter>
    <oddHeader xml:space="preserve">&amp;R&amp;10
. </oddHeader>
    <oddFooter>&amp;L&amp;10　.&amp;CPC版&amp;R&amp;8.</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653E2-C8EE-420B-9983-66A05B8C02F2}">
  <sheetPr>
    <tabColor rgb="FFFFC000"/>
    <pageSetUpPr fitToPage="1"/>
  </sheetPr>
  <dimension ref="A1:V68"/>
  <sheetViews>
    <sheetView showGridLines="0" view="pageBreakPreview" zoomScale="50" zoomScaleNormal="70" zoomScaleSheetLayoutView="50" workbookViewId="0">
      <selection activeCell="D11" sqref="D11:E11"/>
    </sheetView>
  </sheetViews>
  <sheetFormatPr defaultRowHeight="21.75" x14ac:dyDescent="0.25"/>
  <cols>
    <col min="1" max="1" width="15.125" style="78" customWidth="1"/>
    <col min="2" max="2" width="21.625" style="77" customWidth="1"/>
    <col min="3" max="3" width="8.5" style="77" customWidth="1"/>
    <col min="4" max="4" width="30.625" style="79" customWidth="1"/>
    <col min="5" max="5" width="3.625" style="80" customWidth="1"/>
    <col min="6" max="7" width="11.625" style="77" customWidth="1"/>
    <col min="8" max="8" width="6.625" style="77" customWidth="1"/>
    <col min="9" max="10" width="8.625" style="77" customWidth="1"/>
    <col min="11" max="11" width="62.625" style="93" customWidth="1"/>
    <col min="12" max="12" width="10.5" style="88" hidden="1" customWidth="1"/>
    <col min="13" max="13" width="12.5" style="88" hidden="1" customWidth="1"/>
    <col min="14" max="14" width="9.25" style="137" hidden="1" customWidth="1"/>
    <col min="15" max="15" width="9.625" style="144" hidden="1" customWidth="1"/>
    <col min="16" max="16" width="10.625" style="88" hidden="1" customWidth="1"/>
    <col min="17" max="17" width="16.125" style="88" hidden="1" customWidth="1"/>
    <col min="18" max="18" width="4.625" style="88" hidden="1" customWidth="1"/>
    <col min="19" max="19" width="9" style="89" hidden="1" customWidth="1"/>
    <col min="20" max="20" width="9" style="89" customWidth="1"/>
    <col min="21" max="22" width="9" style="89"/>
    <col min="23" max="16384" width="9" style="9"/>
  </cols>
  <sheetData>
    <row r="1" spans="1:22" ht="56.25" customHeight="1" thickBot="1" x14ac:dyDescent="0.3">
      <c r="A1" s="46"/>
      <c r="B1" s="19"/>
      <c r="C1" s="19"/>
      <c r="D1" s="20"/>
      <c r="E1" s="49"/>
      <c r="F1" s="19"/>
      <c r="G1" s="19"/>
      <c r="H1" s="19"/>
      <c r="I1" s="19"/>
      <c r="J1" s="19"/>
      <c r="O1" s="138"/>
    </row>
    <row r="2" spans="1:22" ht="27" customHeight="1" thickTop="1" thickBot="1" x14ac:dyDescent="0.35">
      <c r="A2" s="18"/>
      <c r="B2" s="19"/>
      <c r="C2" s="19"/>
      <c r="D2" s="20"/>
      <c r="E2" s="49"/>
      <c r="F2" s="21"/>
      <c r="G2" s="21"/>
      <c r="H2" s="21"/>
      <c r="I2" s="21"/>
      <c r="J2" s="22" t="str">
        <f>'16号-1'!L3</f>
        <v>令和3年6月研修開始</v>
      </c>
      <c r="L2" s="178">
        <f>EOMONTH('16号-1'!$Z$10,11)</f>
        <v>44712</v>
      </c>
      <c r="M2" s="139" t="s">
        <v>58</v>
      </c>
      <c r="N2" s="140"/>
      <c r="O2" s="141"/>
      <c r="P2" s="110"/>
      <c r="Q2" s="110"/>
      <c r="R2" s="111"/>
    </row>
    <row r="3" spans="1:22" ht="24.75" thickTop="1" x14ac:dyDescent="0.35">
      <c r="A3" s="23" t="s">
        <v>85</v>
      </c>
      <c r="B3" s="19"/>
      <c r="C3" s="19"/>
      <c r="D3" s="20"/>
      <c r="E3" s="49"/>
      <c r="F3" s="24"/>
      <c r="G3" s="24"/>
      <c r="H3" s="24"/>
      <c r="I3" s="24"/>
      <c r="J3" s="24"/>
      <c r="L3" s="142"/>
      <c r="M3" s="142"/>
      <c r="N3" s="143"/>
    </row>
    <row r="4" spans="1:22" ht="23.25" customHeight="1" x14ac:dyDescent="0.35">
      <c r="A4" s="23"/>
      <c r="B4" s="380" t="s">
        <v>83</v>
      </c>
      <c r="C4" s="380"/>
      <c r="D4" s="380"/>
      <c r="E4" s="380"/>
      <c r="F4" s="380"/>
      <c r="G4" s="380"/>
      <c r="H4" s="380"/>
      <c r="I4" s="24"/>
      <c r="J4" s="24"/>
      <c r="L4" s="142"/>
      <c r="M4" s="142"/>
      <c r="N4" s="143"/>
    </row>
    <row r="5" spans="1:22" ht="19.5" customHeight="1" x14ac:dyDescent="0.25">
      <c r="A5" s="224" t="str">
        <f>IF('16号-1'!$W$15="（月別内訳②：）","","（月別内訳②："&amp;YEAR('16号-1'!T15)&amp;"年"&amp;MONTH('16号-1'!T15)&amp;"月～"&amp;YEAR('16号-1'!U15)&amp;"年"&amp;MONTH('16号-1'!U15)&amp;"月）")</f>
        <v>（月別内訳②：2022年8月～2022年11月）</v>
      </c>
      <c r="B5" s="25"/>
      <c r="C5" s="25"/>
      <c r="D5" s="86"/>
      <c r="E5" s="50"/>
      <c r="F5" s="25"/>
      <c r="G5" s="25"/>
      <c r="H5" s="25"/>
      <c r="I5" s="25"/>
      <c r="J5" s="25"/>
    </row>
    <row r="6" spans="1:22" s="10" customFormat="1" ht="24" x14ac:dyDescent="0.35">
      <c r="A6" s="26"/>
      <c r="B6" s="27" t="s">
        <v>6</v>
      </c>
      <c r="C6" s="426" t="str">
        <f>IF('16号-1'!$G$10="","",'16号-1'!$G$10)</f>
        <v/>
      </c>
      <c r="D6" s="426"/>
      <c r="E6" s="426"/>
      <c r="F6" s="426"/>
      <c r="G6" s="426"/>
      <c r="H6" s="426"/>
      <c r="I6" s="426"/>
      <c r="J6" s="426"/>
      <c r="K6" s="94"/>
      <c r="L6" s="447" t="s">
        <v>105</v>
      </c>
      <c r="M6" s="449">
        <f>IF('16号-1'!$Q$3=TRUE,1500000,1200000)</f>
        <v>1200000</v>
      </c>
      <c r="N6" s="145"/>
      <c r="O6" s="146"/>
      <c r="P6" s="90"/>
      <c r="Q6" s="90"/>
      <c r="R6" s="90"/>
      <c r="S6" s="91"/>
      <c r="T6" s="91"/>
      <c r="U6" s="91"/>
      <c r="V6" s="91"/>
    </row>
    <row r="7" spans="1:22" s="10" customFormat="1" ht="24" customHeight="1" x14ac:dyDescent="0.35">
      <c r="A7" s="26"/>
      <c r="B7" s="27" t="s">
        <v>4</v>
      </c>
      <c r="C7" s="426" t="str">
        <f>IF('16号-1'!$E$20="","",'16号-1'!$E$20)</f>
        <v/>
      </c>
      <c r="D7" s="426"/>
      <c r="E7" s="426"/>
      <c r="F7" s="426"/>
      <c r="G7" s="426"/>
      <c r="H7" s="426"/>
      <c r="I7" s="426"/>
      <c r="J7" s="426"/>
      <c r="K7" s="94"/>
      <c r="L7" s="448"/>
      <c r="M7" s="449"/>
      <c r="N7" s="145"/>
      <c r="O7" s="146"/>
      <c r="P7" s="90"/>
      <c r="Q7" s="90"/>
      <c r="R7" s="90"/>
      <c r="S7" s="91"/>
      <c r="T7" s="91"/>
      <c r="U7" s="91"/>
      <c r="V7" s="91"/>
    </row>
    <row r="8" spans="1:22" ht="6" hidden="1" customHeight="1" x14ac:dyDescent="0.3">
      <c r="A8" s="18"/>
      <c r="B8" s="28"/>
      <c r="C8" s="430"/>
      <c r="D8" s="430"/>
      <c r="E8" s="51"/>
      <c r="F8" s="429"/>
      <c r="G8" s="429"/>
      <c r="H8" s="211"/>
      <c r="I8" s="211"/>
      <c r="J8" s="19"/>
      <c r="K8" s="95"/>
    </row>
    <row r="9" spans="1:22" ht="6.75" customHeight="1" thickBot="1" x14ac:dyDescent="0.3">
      <c r="A9" s="18"/>
      <c r="B9" s="29"/>
      <c r="C9" s="29"/>
      <c r="D9" s="20"/>
      <c r="E9" s="49"/>
      <c r="F9" s="19"/>
      <c r="G9" s="19"/>
      <c r="H9" s="19"/>
      <c r="I9" s="19"/>
      <c r="J9" s="45"/>
    </row>
    <row r="10" spans="1:22" ht="29.25" customHeight="1" thickBot="1" x14ac:dyDescent="0.3">
      <c r="A10" s="30"/>
      <c r="B10" s="432" t="s">
        <v>11</v>
      </c>
      <c r="C10" s="433"/>
      <c r="D10" s="427" t="s">
        <v>10</v>
      </c>
      <c r="E10" s="428"/>
      <c r="F10" s="432" t="s">
        <v>44</v>
      </c>
      <c r="G10" s="434"/>
      <c r="H10" s="434"/>
      <c r="I10" s="434"/>
      <c r="J10" s="435"/>
      <c r="L10" s="172" t="s">
        <v>60</v>
      </c>
      <c r="M10" s="173" t="s">
        <v>52</v>
      </c>
      <c r="N10" s="174" t="s">
        <v>53</v>
      </c>
      <c r="O10" s="174" t="s">
        <v>92</v>
      </c>
      <c r="P10" s="175" t="s">
        <v>57</v>
      </c>
      <c r="Q10" s="176"/>
      <c r="R10" s="177" t="s">
        <v>61</v>
      </c>
    </row>
    <row r="11" spans="1:22" ht="21" customHeight="1" x14ac:dyDescent="0.25">
      <c r="A11" s="30"/>
      <c r="B11" s="31" t="s">
        <v>0</v>
      </c>
      <c r="C11" s="32"/>
      <c r="D11" s="398"/>
      <c r="E11" s="399"/>
      <c r="F11" s="31" t="s">
        <v>114</v>
      </c>
      <c r="G11" s="33"/>
      <c r="H11" s="33"/>
      <c r="I11" s="33"/>
      <c r="J11" s="34"/>
      <c r="L11" s="147">
        <f>IF(A15="",0,IF(D11="",0,MIN(D11,L15)))</f>
        <v>0</v>
      </c>
      <c r="M11" s="113"/>
      <c r="N11" s="136"/>
      <c r="O11" s="179"/>
      <c r="P11" s="113"/>
      <c r="Q11" s="113"/>
      <c r="R11" s="115"/>
    </row>
    <row r="12" spans="1:22" ht="21" customHeight="1" x14ac:dyDescent="0.25">
      <c r="A12" s="35"/>
      <c r="B12" s="36" t="s">
        <v>2</v>
      </c>
      <c r="C12" s="37"/>
      <c r="D12" s="464"/>
      <c r="E12" s="465"/>
      <c r="F12" s="36" t="s">
        <v>114</v>
      </c>
      <c r="G12" s="38"/>
      <c r="H12" s="38"/>
      <c r="I12" s="38"/>
      <c r="J12" s="39"/>
      <c r="L12" s="148">
        <f>IF($D11&gt;D15,0,IF($D11+D12&lt;D15,D12,D15-$D11))</f>
        <v>0</v>
      </c>
      <c r="M12" s="113"/>
      <c r="N12" s="136"/>
      <c r="O12" s="149"/>
      <c r="P12" s="113"/>
      <c r="Q12" s="113"/>
      <c r="R12" s="115"/>
    </row>
    <row r="13" spans="1:22" ht="21" customHeight="1" x14ac:dyDescent="0.25">
      <c r="A13" s="35"/>
      <c r="B13" s="36" t="s">
        <v>3</v>
      </c>
      <c r="C13" s="37"/>
      <c r="D13" s="464"/>
      <c r="E13" s="465"/>
      <c r="F13" s="36" t="s">
        <v>114</v>
      </c>
      <c r="G13" s="38"/>
      <c r="H13" s="38"/>
      <c r="I13" s="38"/>
      <c r="J13" s="39"/>
      <c r="L13" s="148">
        <f>IF($D11+$D12&gt;D15,0,IF($D11+$D12+D13&lt;D15,D13,D15-$D11-$D12))</f>
        <v>0</v>
      </c>
      <c r="M13" s="113"/>
      <c r="N13" s="136"/>
      <c r="O13" s="149"/>
      <c r="P13" s="113"/>
      <c r="Q13" s="113"/>
      <c r="R13" s="115"/>
    </row>
    <row r="14" spans="1:22" ht="21" customHeight="1" x14ac:dyDescent="0.25">
      <c r="A14" s="40"/>
      <c r="B14" s="36" t="s">
        <v>1</v>
      </c>
      <c r="C14" s="37"/>
      <c r="D14" s="464"/>
      <c r="E14" s="465"/>
      <c r="F14" s="36" t="s">
        <v>114</v>
      </c>
      <c r="G14" s="38"/>
      <c r="H14" s="38"/>
      <c r="I14" s="38"/>
      <c r="J14" s="39"/>
      <c r="L14" s="148">
        <f>IF($D11+$D12+$D13&gt;D15,0,IF($D11+$D12+$D13+D14&lt;D15,D14,D15-$D11-$D12-$D13))</f>
        <v>0</v>
      </c>
      <c r="M14" s="113"/>
      <c r="N14" s="136"/>
      <c r="O14" s="150"/>
      <c r="P14" s="113"/>
      <c r="Q14" s="113"/>
      <c r="R14" s="115"/>
    </row>
    <row r="15" spans="1:22" ht="15" customHeight="1" thickBot="1" x14ac:dyDescent="0.3">
      <c r="A15" s="411">
        <f>IF('16号-1'!W15="","",'16号-1'!T15)</f>
        <v>44774</v>
      </c>
      <c r="B15" s="414" t="s">
        <v>9</v>
      </c>
      <c r="C15" s="415"/>
      <c r="D15" s="418">
        <f>IF($A$15="",0,IF(SUM(D11:E14)&lt;=$L$15,SUM(D11:E14),$L$15))</f>
        <v>0</v>
      </c>
      <c r="E15" s="419"/>
      <c r="F15" s="381" t="str">
        <f>IF('16号-1'!$Q$3=TRUE,"  ←　月計の上限額122,000円","  ←　月計の上限額97,000円")</f>
        <v xml:space="preserve">  ←　月計の上限額97,000円</v>
      </c>
      <c r="G15" s="382"/>
      <c r="H15" s="382"/>
      <c r="I15" s="382"/>
      <c r="J15" s="383"/>
      <c r="L15" s="151">
        <f>IF('16号-1'!$Q$3=TRUE,122000,97000)</f>
        <v>97000</v>
      </c>
      <c r="R15" s="115"/>
    </row>
    <row r="16" spans="1:22" ht="30" customHeight="1" thickBot="1" x14ac:dyDescent="0.3">
      <c r="A16" s="411"/>
      <c r="B16" s="416"/>
      <c r="C16" s="417"/>
      <c r="D16" s="420"/>
      <c r="E16" s="421"/>
      <c r="F16" s="384" t="str">
        <f>IF($A$15="",0,IF(SUM(D11:E14)&gt;$L$15,"　(1)～(4)の月計が上限額を超えています",""))</f>
        <v/>
      </c>
      <c r="G16" s="385"/>
      <c r="H16" s="385"/>
      <c r="I16" s="385"/>
      <c r="J16" s="386"/>
      <c r="L16" s="152"/>
      <c r="M16" s="125">
        <f>A15</f>
        <v>44774</v>
      </c>
      <c r="N16" s="108"/>
      <c r="O16" s="149"/>
      <c r="P16" s="113"/>
      <c r="Q16" s="113"/>
      <c r="R16" s="120"/>
    </row>
    <row r="17" spans="1:19" ht="15" customHeight="1" thickBot="1" x14ac:dyDescent="0.3">
      <c r="A17" s="35"/>
      <c r="B17" s="407" t="s">
        <v>12</v>
      </c>
      <c r="C17" s="408"/>
      <c r="D17" s="400"/>
      <c r="E17" s="401"/>
      <c r="F17" s="387" t="str">
        <f>IF('16号-1'!$Q$3=TRUE,"  ←　年度上限　420,000円","  ←　年度上限　120,000円")</f>
        <v xml:space="preserve">  ←　年度上限　120,000円</v>
      </c>
      <c r="G17" s="388"/>
      <c r="H17" s="388"/>
      <c r="I17" s="389"/>
      <c r="J17" s="390"/>
      <c r="L17" s="236">
        <f>IF($A15="",0,IF(SUM(D11:E14)&lt;=$L15,SUM(D11:E14),$L15))</f>
        <v>0</v>
      </c>
      <c r="M17" s="237"/>
      <c r="N17" s="238">
        <f>IF($A15="",0,IF($D19="",0,MIN(30000,$D19)))</f>
        <v>0</v>
      </c>
      <c r="O17" s="239">
        <f>IF($A15="",0,IF($D17="",0,MIN($P17,$D17)))</f>
        <v>0</v>
      </c>
      <c r="P17" s="151">
        <f>IF('16号-1'!$Q$3=TRUE,420000,120000)</f>
        <v>120000</v>
      </c>
      <c r="Q17" s="228">
        <f>A15</f>
        <v>44774</v>
      </c>
      <c r="R17" s="109">
        <f>IFERROR(DATEDIF('16号-1'!$Z$10,M16,"M")+1,"")</f>
        <v>15</v>
      </c>
      <c r="S17" s="89" t="str">
        <f>IF(R17="","",IF(R17&lt;13,"1年目","2年目"))</f>
        <v>2年目</v>
      </c>
    </row>
    <row r="18" spans="1:19" ht="15" customHeight="1" thickBot="1" x14ac:dyDescent="0.3">
      <c r="A18" s="35"/>
      <c r="B18" s="409"/>
      <c r="C18" s="410"/>
      <c r="D18" s="402"/>
      <c r="E18" s="403"/>
      <c r="F18" s="404" t="str">
        <f>IF(D17="","",IF(D17&gt;P17,"　入力金額が年度上限を越えています",""))</f>
        <v/>
      </c>
      <c r="G18" s="405"/>
      <c r="H18" s="405"/>
      <c r="I18" s="405"/>
      <c r="J18" s="406"/>
      <c r="L18" s="153"/>
      <c r="M18" s="154"/>
      <c r="N18" s="135"/>
      <c r="O18" s="229"/>
      <c r="P18" s="230"/>
      <c r="Q18" s="228"/>
      <c r="R18" s="231"/>
    </row>
    <row r="19" spans="1:19" ht="15" customHeight="1" x14ac:dyDescent="0.25">
      <c r="A19" s="35"/>
      <c r="B19" s="407" t="s">
        <v>8</v>
      </c>
      <c r="C19" s="235"/>
      <c r="D19" s="400"/>
      <c r="E19" s="424"/>
      <c r="F19" s="225" t="s">
        <v>32</v>
      </c>
      <c r="G19" s="226"/>
      <c r="H19" s="226"/>
      <c r="I19" s="226"/>
      <c r="J19" s="227"/>
      <c r="L19" s="155"/>
      <c r="M19" s="113"/>
      <c r="N19" s="135"/>
      <c r="O19" s="149"/>
      <c r="P19" s="113"/>
      <c r="Q19" s="113"/>
      <c r="R19" s="121"/>
    </row>
    <row r="20" spans="1:19" ht="15" customHeight="1" x14ac:dyDescent="0.25">
      <c r="A20" s="35"/>
      <c r="B20" s="409"/>
      <c r="C20" s="41"/>
      <c r="D20" s="402"/>
      <c r="E20" s="425"/>
      <c r="F20" s="234" t="str">
        <f>IF(D19="","",IF(D19&gt;30000,"　入力金額が年度上限を越えています",""))</f>
        <v/>
      </c>
      <c r="G20" s="232"/>
      <c r="H20" s="232"/>
      <c r="I20" s="232"/>
      <c r="J20" s="233"/>
      <c r="L20" s="155"/>
      <c r="M20" s="113"/>
      <c r="N20" s="135"/>
      <c r="O20" s="149"/>
      <c r="P20" s="113"/>
      <c r="Q20" s="113"/>
      <c r="R20" s="115"/>
    </row>
    <row r="21" spans="1:19" ht="21" customHeight="1" thickBot="1" x14ac:dyDescent="0.3">
      <c r="A21" s="42"/>
      <c r="B21" s="412" t="str">
        <f>IF($A15="","月計",MONTH(A15)&amp;"月計")</f>
        <v>8月計</v>
      </c>
      <c r="C21" s="413"/>
      <c r="D21" s="422">
        <f>SUM(L17:O17)</f>
        <v>0</v>
      </c>
      <c r="E21" s="423"/>
      <c r="F21" s="391"/>
      <c r="G21" s="392"/>
      <c r="H21" s="392"/>
      <c r="I21" s="392"/>
      <c r="J21" s="393"/>
      <c r="L21" s="156"/>
      <c r="M21" s="114"/>
      <c r="N21" s="157"/>
      <c r="O21" s="149"/>
      <c r="P21" s="114"/>
      <c r="Q21" s="114"/>
      <c r="R21" s="116"/>
    </row>
    <row r="22" spans="1:19" ht="21" customHeight="1" x14ac:dyDescent="0.25">
      <c r="A22" s="30"/>
      <c r="B22" s="31" t="s">
        <v>0</v>
      </c>
      <c r="C22" s="32"/>
      <c r="D22" s="398"/>
      <c r="E22" s="399"/>
      <c r="F22" s="31" t="s">
        <v>114</v>
      </c>
      <c r="G22" s="33"/>
      <c r="H22" s="33"/>
      <c r="I22" s="33"/>
      <c r="J22" s="34"/>
      <c r="L22" s="147">
        <f>IF(A26="",0,IF(D22="",0,MIN(D22,L26)))</f>
        <v>0</v>
      </c>
      <c r="M22" s="112"/>
      <c r="N22" s="159"/>
      <c r="O22" s="180"/>
      <c r="P22" s="112"/>
      <c r="Q22" s="112"/>
      <c r="R22" s="117"/>
    </row>
    <row r="23" spans="1:19" ht="21" customHeight="1" x14ac:dyDescent="0.25">
      <c r="A23" s="35"/>
      <c r="B23" s="36" t="s">
        <v>2</v>
      </c>
      <c r="C23" s="37"/>
      <c r="D23" s="464"/>
      <c r="E23" s="465"/>
      <c r="F23" s="36" t="s">
        <v>114</v>
      </c>
      <c r="G23" s="38"/>
      <c r="H23" s="38"/>
      <c r="I23" s="38"/>
      <c r="J23" s="39"/>
      <c r="L23" s="155">
        <f>IF($D22&gt;D26,0,IF($D22+D23&lt;D26,D23,D26-$D22))</f>
        <v>0</v>
      </c>
      <c r="M23" s="113"/>
      <c r="N23" s="160"/>
      <c r="O23" s="149"/>
      <c r="P23" s="113"/>
      <c r="Q23" s="113"/>
      <c r="R23" s="118"/>
    </row>
    <row r="24" spans="1:19" ht="21" customHeight="1" x14ac:dyDescent="0.25">
      <c r="A24" s="35"/>
      <c r="B24" s="36" t="s">
        <v>3</v>
      </c>
      <c r="C24" s="37"/>
      <c r="D24" s="464"/>
      <c r="E24" s="465"/>
      <c r="F24" s="36" t="s">
        <v>114</v>
      </c>
      <c r="G24" s="38"/>
      <c r="H24" s="38"/>
      <c r="I24" s="38"/>
      <c r="J24" s="39"/>
      <c r="L24" s="155">
        <f>IF($D22+$D23&gt;D26,0,IF($D22+$D23+D24&lt;D26,D24,D26-$D22-$D23))</f>
        <v>0</v>
      </c>
      <c r="M24" s="113"/>
      <c r="N24" s="160"/>
      <c r="O24" s="149"/>
      <c r="P24" s="184" t="s">
        <v>72</v>
      </c>
      <c r="Q24" s="113"/>
      <c r="R24" s="118"/>
    </row>
    <row r="25" spans="1:19" ht="21" customHeight="1" x14ac:dyDescent="0.25">
      <c r="A25" s="40"/>
      <c r="B25" s="36" t="s">
        <v>1</v>
      </c>
      <c r="C25" s="37"/>
      <c r="D25" s="464"/>
      <c r="E25" s="465"/>
      <c r="F25" s="36" t="s">
        <v>114</v>
      </c>
      <c r="G25" s="38"/>
      <c r="H25" s="38"/>
      <c r="I25" s="38"/>
      <c r="J25" s="39"/>
      <c r="L25" s="155">
        <f>IF($D22+$D23+$D24&gt;D26,0,IF($D22+$D23+$D24+D25&lt;D26,D25,D26-$D22-$D23-$D24))</f>
        <v>0</v>
      </c>
      <c r="M25" s="113"/>
      <c r="N25" s="161"/>
      <c r="O25" s="149"/>
      <c r="P25" s="181" t="s">
        <v>63</v>
      </c>
      <c r="Q25" s="113"/>
      <c r="R25" s="118"/>
    </row>
    <row r="26" spans="1:19" ht="15" customHeight="1" thickBot="1" x14ac:dyDescent="0.3">
      <c r="A26" s="411">
        <f>IF(A15="","",EOMONTH(A15,0)+1)</f>
        <v>44805</v>
      </c>
      <c r="B26" s="414" t="s">
        <v>9</v>
      </c>
      <c r="C26" s="415"/>
      <c r="D26" s="418">
        <f>IF($A$26="",0,IF(SUM(D22:E25)&lt;=$L$26,SUM(D22:E25),$L$26))</f>
        <v>0</v>
      </c>
      <c r="E26" s="419"/>
      <c r="F26" s="396" t="str">
        <f>IF('16号-1'!$Q$3=TRUE,"  ←　月計の上限額122,000円","  ←　月計の上限額97,000円")</f>
        <v xml:space="preserve">  ←　月計の上限額97,000円</v>
      </c>
      <c r="G26" s="397"/>
      <c r="H26" s="397"/>
      <c r="I26" s="394"/>
      <c r="J26" s="395"/>
      <c r="L26" s="151">
        <f>IF('16号-1'!$Q$3=TRUE,122000,97000)</f>
        <v>97000</v>
      </c>
      <c r="M26" s="113"/>
      <c r="N26" s="161"/>
      <c r="O26" s="149"/>
      <c r="P26" s="182" t="s">
        <v>64</v>
      </c>
      <c r="Q26" s="113"/>
      <c r="R26" s="115"/>
    </row>
    <row r="27" spans="1:19" ht="30" customHeight="1" thickBot="1" x14ac:dyDescent="0.3">
      <c r="A27" s="411"/>
      <c r="B27" s="416"/>
      <c r="C27" s="417"/>
      <c r="D27" s="420"/>
      <c r="E27" s="421"/>
      <c r="F27" s="384" t="str">
        <f>IF($A$15="",0,IF(SUM(D22:E25)&gt;$L$15,"　(1)～(4)の月計が上限額を超えています",""))</f>
        <v/>
      </c>
      <c r="G27" s="385"/>
      <c r="H27" s="385"/>
      <c r="I27" s="385"/>
      <c r="J27" s="386"/>
      <c r="L27" s="152"/>
      <c r="M27" s="125">
        <f>A26</f>
        <v>44805</v>
      </c>
      <c r="N27" s="108"/>
      <c r="O27" s="149"/>
      <c r="P27" s="183" t="s">
        <v>65</v>
      </c>
      <c r="Q27" s="113"/>
      <c r="R27" s="120"/>
    </row>
    <row r="28" spans="1:19" ht="15" customHeight="1" thickBot="1" x14ac:dyDescent="0.3">
      <c r="A28" s="35"/>
      <c r="B28" s="407" t="s">
        <v>12</v>
      </c>
      <c r="C28" s="408"/>
      <c r="D28" s="400"/>
      <c r="E28" s="401"/>
      <c r="F28" s="387" t="str">
        <f>IF('16号-1'!$Q$3=TRUE,"  ←　年度上限　420,000円","  ←　年度上限　120,000円")</f>
        <v xml:space="preserve">  ←　年度上限　120,000円</v>
      </c>
      <c r="G28" s="388"/>
      <c r="H28" s="388"/>
      <c r="I28" s="389"/>
      <c r="J28" s="390"/>
      <c r="L28" s="236">
        <f>IF($A26="",0,IF(SUM(D22:E25)&lt;=$L26,SUM(D22:E25),$L26))</f>
        <v>0</v>
      </c>
      <c r="M28" s="237"/>
      <c r="N28" s="238">
        <f>IF($A26="",0,IF($D30="",0,MIN(30000,$D30)))</f>
        <v>0</v>
      </c>
      <c r="O28" s="239">
        <f>IF($A26="",0,IF($D28="",0,MIN($P28,$D28)))</f>
        <v>0</v>
      </c>
      <c r="P28" s="151">
        <f>IF('16号-1'!$Q$3=TRUE,420000,120000)</f>
        <v>120000</v>
      </c>
      <c r="Q28" s="228">
        <f>A26</f>
        <v>44805</v>
      </c>
      <c r="R28" s="109">
        <f>IFERROR(DATEDIF('16号-1'!$Z$10,M27,"M")+1,"")</f>
        <v>16</v>
      </c>
      <c r="S28" s="89" t="str">
        <f>IF(R28="","",IF(R28&lt;13,"1年目","2年目"))</f>
        <v>2年目</v>
      </c>
    </row>
    <row r="29" spans="1:19" ht="15" customHeight="1" thickBot="1" x14ac:dyDescent="0.3">
      <c r="A29" s="35"/>
      <c r="B29" s="409"/>
      <c r="C29" s="410"/>
      <c r="D29" s="402"/>
      <c r="E29" s="403"/>
      <c r="F29" s="404" t="str">
        <f>IF(D28="","",IF(D28&gt;P28,"　入力金額が年度上限を越えています",""))</f>
        <v/>
      </c>
      <c r="G29" s="405"/>
      <c r="H29" s="405"/>
      <c r="I29" s="405"/>
      <c r="J29" s="406"/>
      <c r="L29" s="153"/>
      <c r="M29" s="154"/>
      <c r="N29" s="160"/>
      <c r="O29" s="229"/>
      <c r="P29" s="230"/>
      <c r="Q29" s="228"/>
      <c r="R29" s="231"/>
    </row>
    <row r="30" spans="1:19" ht="15" customHeight="1" x14ac:dyDescent="0.25">
      <c r="A30" s="35"/>
      <c r="B30" s="407" t="s">
        <v>8</v>
      </c>
      <c r="C30" s="235"/>
      <c r="D30" s="400"/>
      <c r="E30" s="424"/>
      <c r="F30" s="225" t="s">
        <v>32</v>
      </c>
      <c r="G30" s="226"/>
      <c r="H30" s="226"/>
      <c r="I30" s="226"/>
      <c r="J30" s="227"/>
      <c r="L30" s="155"/>
      <c r="M30" s="113"/>
      <c r="N30" s="135"/>
      <c r="O30" s="162" t="s">
        <v>54</v>
      </c>
      <c r="P30" s="113"/>
      <c r="Q30" s="113"/>
      <c r="R30" s="121"/>
    </row>
    <row r="31" spans="1:19" ht="15" customHeight="1" x14ac:dyDescent="0.25">
      <c r="A31" s="35"/>
      <c r="B31" s="409"/>
      <c r="C31" s="41"/>
      <c r="D31" s="402"/>
      <c r="E31" s="425"/>
      <c r="F31" s="234" t="str">
        <f>IF(D30="","",IF(D30&gt;30000,"　入力金額が年度上限を越えています",""))</f>
        <v/>
      </c>
      <c r="G31" s="232"/>
      <c r="H31" s="232"/>
      <c r="I31" s="232"/>
      <c r="J31" s="233"/>
      <c r="L31" s="155"/>
      <c r="M31" s="113"/>
      <c r="N31" s="135"/>
      <c r="O31" s="162"/>
      <c r="P31" s="113"/>
      <c r="Q31" s="113"/>
      <c r="R31" s="115"/>
    </row>
    <row r="32" spans="1:19" ht="21" customHeight="1" thickBot="1" x14ac:dyDescent="0.3">
      <c r="A32" s="42"/>
      <c r="B32" s="412" t="str">
        <f>IF($A26="","月計",MONTH(A26)&amp;"月計")</f>
        <v>9月計</v>
      </c>
      <c r="C32" s="413"/>
      <c r="D32" s="431">
        <f>SUM(L28:O28)</f>
        <v>0</v>
      </c>
      <c r="E32" s="423"/>
      <c r="F32" s="391"/>
      <c r="G32" s="392"/>
      <c r="H32" s="392"/>
      <c r="I32" s="392"/>
      <c r="J32" s="393"/>
      <c r="L32" s="156"/>
      <c r="M32" s="114"/>
      <c r="N32" s="163"/>
      <c r="O32" s="149"/>
      <c r="P32" s="114"/>
      <c r="Q32" s="114"/>
      <c r="R32" s="116"/>
    </row>
    <row r="33" spans="1:19" ht="21" customHeight="1" x14ac:dyDescent="0.25">
      <c r="A33" s="30"/>
      <c r="B33" s="31" t="s">
        <v>0</v>
      </c>
      <c r="C33" s="32"/>
      <c r="D33" s="398"/>
      <c r="E33" s="399"/>
      <c r="F33" s="31" t="s">
        <v>114</v>
      </c>
      <c r="G33" s="33"/>
      <c r="H33" s="33"/>
      <c r="I33" s="33"/>
      <c r="J33" s="34"/>
      <c r="L33" s="147">
        <f>IF(A37="",0,IF(D33="",0,MIN(D33,L37)))</f>
        <v>0</v>
      </c>
      <c r="M33" s="112"/>
      <c r="N33" s="164"/>
      <c r="O33" s="180"/>
      <c r="P33" s="112"/>
      <c r="Q33" s="112"/>
      <c r="R33" s="117"/>
    </row>
    <row r="34" spans="1:19" ht="21" customHeight="1" x14ac:dyDescent="0.25">
      <c r="A34" s="35"/>
      <c r="B34" s="36" t="s">
        <v>2</v>
      </c>
      <c r="C34" s="37"/>
      <c r="D34" s="464"/>
      <c r="E34" s="465"/>
      <c r="F34" s="36" t="s">
        <v>114</v>
      </c>
      <c r="G34" s="38"/>
      <c r="H34" s="38"/>
      <c r="I34" s="38"/>
      <c r="J34" s="39"/>
      <c r="L34" s="155">
        <f>IF($D33&gt;D37,0,IF($D33+D34&lt;D37,D34,D37-$D33))</f>
        <v>0</v>
      </c>
      <c r="M34" s="113"/>
      <c r="N34" s="136"/>
      <c r="O34" s="149"/>
      <c r="P34" s="113"/>
      <c r="Q34" s="113"/>
      <c r="R34" s="118"/>
    </row>
    <row r="35" spans="1:19" ht="21" customHeight="1" x14ac:dyDescent="0.25">
      <c r="A35" s="35"/>
      <c r="B35" s="36" t="s">
        <v>3</v>
      </c>
      <c r="C35" s="37"/>
      <c r="D35" s="464"/>
      <c r="E35" s="465"/>
      <c r="F35" s="36" t="s">
        <v>114</v>
      </c>
      <c r="G35" s="38"/>
      <c r="H35" s="38"/>
      <c r="I35" s="38"/>
      <c r="J35" s="39"/>
      <c r="L35" s="155">
        <f>IF($D33+$D34&gt;D37,0,IF($D33+$D34+D35&lt;D37,D35,D37-$D33-$D34))</f>
        <v>0</v>
      </c>
      <c r="M35" s="113"/>
      <c r="N35" s="136"/>
      <c r="O35" s="149"/>
      <c r="P35" s="184" t="s">
        <v>72</v>
      </c>
      <c r="Q35" s="113"/>
      <c r="R35" s="118"/>
    </row>
    <row r="36" spans="1:19" ht="21" customHeight="1" x14ac:dyDescent="0.25">
      <c r="A36" s="40"/>
      <c r="B36" s="36" t="s">
        <v>1</v>
      </c>
      <c r="C36" s="37"/>
      <c r="D36" s="464"/>
      <c r="E36" s="465"/>
      <c r="F36" s="36" t="s">
        <v>114</v>
      </c>
      <c r="G36" s="38"/>
      <c r="H36" s="38"/>
      <c r="I36" s="38"/>
      <c r="J36" s="39"/>
      <c r="L36" s="155">
        <f>IF($D33+$D34+$D35&gt;D37,0,IF($D33+$D34+$D35+D36&lt;D37,D36,D37-$D33-$D34-$D35))</f>
        <v>0</v>
      </c>
      <c r="M36" s="113"/>
      <c r="N36" s="136"/>
      <c r="O36" s="149"/>
      <c r="P36" s="181" t="s">
        <v>66</v>
      </c>
      <c r="Q36" s="113"/>
      <c r="R36" s="118"/>
    </row>
    <row r="37" spans="1:19" ht="15" customHeight="1" thickBot="1" x14ac:dyDescent="0.3">
      <c r="A37" s="411">
        <f>IF(A26="","",EOMONTH(A26,0)+1)</f>
        <v>44835</v>
      </c>
      <c r="B37" s="414" t="s">
        <v>9</v>
      </c>
      <c r="C37" s="415"/>
      <c r="D37" s="418">
        <f>IF($A$37="",0,IF(SUM(D33:E36)&lt;=$L$37,SUM(D33:E36),$L$37))</f>
        <v>0</v>
      </c>
      <c r="E37" s="419"/>
      <c r="F37" s="396" t="str">
        <f>IF('16号-1'!$Q$3=TRUE,"  ←　月計の上限額122,000円","  ←　月計の上限額97,000円")</f>
        <v xml:space="preserve">  ←　月計の上限額97,000円</v>
      </c>
      <c r="G37" s="397"/>
      <c r="H37" s="397"/>
      <c r="I37" s="394"/>
      <c r="J37" s="395"/>
      <c r="L37" s="151">
        <f>IF('16号-1'!$Q$3=TRUE,122000,97000)</f>
        <v>97000</v>
      </c>
      <c r="P37" s="182" t="s">
        <v>67</v>
      </c>
      <c r="R37" s="115"/>
    </row>
    <row r="38" spans="1:19" ht="30" customHeight="1" thickBot="1" x14ac:dyDescent="0.3">
      <c r="A38" s="411"/>
      <c r="B38" s="416"/>
      <c r="C38" s="417"/>
      <c r="D38" s="420"/>
      <c r="E38" s="421"/>
      <c r="F38" s="384" t="str">
        <f>IF($A$15="",0,IF(SUM(D33:E36)&gt;$L$15,"　(1)～(4)の月計が上限額を超えています",""))</f>
        <v/>
      </c>
      <c r="G38" s="385"/>
      <c r="H38" s="385"/>
      <c r="I38" s="385"/>
      <c r="J38" s="386"/>
      <c r="L38" s="152"/>
      <c r="M38" s="125">
        <f>A37</f>
        <v>44835</v>
      </c>
      <c r="N38" s="136"/>
      <c r="O38" s="149"/>
      <c r="P38" s="183" t="s">
        <v>68</v>
      </c>
      <c r="Q38" s="119"/>
      <c r="R38" s="120"/>
    </row>
    <row r="39" spans="1:19" ht="15" customHeight="1" thickBot="1" x14ac:dyDescent="0.3">
      <c r="A39" s="35"/>
      <c r="B39" s="407" t="s">
        <v>12</v>
      </c>
      <c r="C39" s="408"/>
      <c r="D39" s="400"/>
      <c r="E39" s="401"/>
      <c r="F39" s="387" t="str">
        <f>IF('16号-1'!$Q$3=TRUE,"  ←　年度上限　420,000円","  ←　年度上限　120,000円")</f>
        <v xml:space="preserve">  ←　年度上限　120,000円</v>
      </c>
      <c r="G39" s="388"/>
      <c r="H39" s="388"/>
      <c r="I39" s="389"/>
      <c r="J39" s="390"/>
      <c r="L39" s="236">
        <f>IF($A37="",0,IF(SUM(D33:E36)&lt;=$L37,SUM(D33:E36),$L37))</f>
        <v>0</v>
      </c>
      <c r="M39" s="237"/>
      <c r="N39" s="238">
        <f>IF($A37="",0,IF($D41="",0,MIN(30000,$D41)))</f>
        <v>0</v>
      </c>
      <c r="O39" s="239">
        <f>IF($A37="",0,IF($D39="",0,MIN($P39,$D39)))</f>
        <v>0</v>
      </c>
      <c r="P39" s="151">
        <f>IF('16号-1'!$Q$3=TRUE,420000,120000)</f>
        <v>120000</v>
      </c>
      <c r="Q39" s="228">
        <f>A37</f>
        <v>44835</v>
      </c>
      <c r="R39" s="109">
        <f>IFERROR(DATEDIF('16号-1'!$Z$10,M38,"M")+1,"")</f>
        <v>17</v>
      </c>
      <c r="S39" s="89" t="str">
        <f>IF(R39="","",IF(R39&lt;13,"1年目","2年目"))</f>
        <v>2年目</v>
      </c>
    </row>
    <row r="40" spans="1:19" ht="15" customHeight="1" thickBot="1" x14ac:dyDescent="0.3">
      <c r="A40" s="35"/>
      <c r="B40" s="409"/>
      <c r="C40" s="410"/>
      <c r="D40" s="402"/>
      <c r="E40" s="403"/>
      <c r="F40" s="404" t="str">
        <f>IF(D39="","",IF(D39&gt;P39,"　入力金額が年度上限を越えています",""))</f>
        <v/>
      </c>
      <c r="G40" s="405"/>
      <c r="H40" s="405"/>
      <c r="I40" s="405"/>
      <c r="J40" s="406"/>
      <c r="L40" s="165"/>
      <c r="M40" s="166"/>
      <c r="N40" s="136"/>
      <c r="O40" s="229"/>
      <c r="P40" s="230"/>
      <c r="Q40" s="228"/>
      <c r="R40" s="231"/>
    </row>
    <row r="41" spans="1:19" ht="15" customHeight="1" x14ac:dyDescent="0.25">
      <c r="A41" s="35"/>
      <c r="B41" s="407" t="s">
        <v>8</v>
      </c>
      <c r="C41" s="235"/>
      <c r="D41" s="400"/>
      <c r="E41" s="424"/>
      <c r="F41" s="225" t="s">
        <v>32</v>
      </c>
      <c r="G41" s="226"/>
      <c r="H41" s="226"/>
      <c r="I41" s="226"/>
      <c r="J41" s="227"/>
      <c r="L41" s="155"/>
      <c r="M41" s="113"/>
      <c r="N41" s="135"/>
      <c r="O41" s="162" t="s">
        <v>54</v>
      </c>
      <c r="P41" s="113"/>
      <c r="Q41" s="113"/>
      <c r="R41" s="121"/>
    </row>
    <row r="42" spans="1:19" ht="15" customHeight="1" x14ac:dyDescent="0.25">
      <c r="A42" s="35"/>
      <c r="B42" s="409"/>
      <c r="C42" s="41"/>
      <c r="D42" s="402"/>
      <c r="E42" s="425"/>
      <c r="F42" s="234" t="str">
        <f>IF(D41="","",IF(D41&gt;30000,"　入力金額が年度上限を越えています",""))</f>
        <v/>
      </c>
      <c r="G42" s="232"/>
      <c r="H42" s="232"/>
      <c r="I42" s="232"/>
      <c r="J42" s="233"/>
      <c r="L42" s="155"/>
      <c r="M42" s="113"/>
      <c r="N42" s="135"/>
      <c r="O42" s="162"/>
      <c r="P42" s="113"/>
      <c r="Q42" s="113"/>
      <c r="R42" s="115"/>
    </row>
    <row r="43" spans="1:19" ht="21" customHeight="1" thickBot="1" x14ac:dyDescent="0.3">
      <c r="A43" s="42"/>
      <c r="B43" s="412" t="str">
        <f>IF($A37="","月計",MONTH(A37)&amp;"月計")</f>
        <v>10月計</v>
      </c>
      <c r="C43" s="413"/>
      <c r="D43" s="431">
        <f>SUM(L39:O39)</f>
        <v>0</v>
      </c>
      <c r="E43" s="423"/>
      <c r="F43" s="391"/>
      <c r="G43" s="392"/>
      <c r="H43" s="392"/>
      <c r="I43" s="392"/>
      <c r="J43" s="393"/>
      <c r="L43" s="156"/>
      <c r="M43" s="114"/>
      <c r="N43" s="167"/>
      <c r="O43" s="149"/>
      <c r="P43" s="114"/>
      <c r="Q43" s="114"/>
      <c r="R43" s="116"/>
    </row>
    <row r="44" spans="1:19" ht="21" customHeight="1" x14ac:dyDescent="0.25">
      <c r="A44" s="30"/>
      <c r="B44" s="31" t="s">
        <v>0</v>
      </c>
      <c r="C44" s="32"/>
      <c r="D44" s="398"/>
      <c r="E44" s="399"/>
      <c r="F44" s="31" t="s">
        <v>114</v>
      </c>
      <c r="G44" s="33"/>
      <c r="H44" s="33"/>
      <c r="I44" s="33"/>
      <c r="J44" s="34"/>
      <c r="L44" s="147">
        <f>IF(A48="",0,IF(D44="",0,MIN(D44,L48)))</f>
        <v>0</v>
      </c>
      <c r="M44" s="112"/>
      <c r="N44" s="168"/>
      <c r="O44" s="180"/>
      <c r="P44" s="112"/>
      <c r="Q44" s="112"/>
      <c r="R44" s="117"/>
    </row>
    <row r="45" spans="1:19" ht="21" customHeight="1" x14ac:dyDescent="0.25">
      <c r="A45" s="35"/>
      <c r="B45" s="36" t="s">
        <v>2</v>
      </c>
      <c r="C45" s="37"/>
      <c r="D45" s="464"/>
      <c r="E45" s="465"/>
      <c r="F45" s="36" t="s">
        <v>114</v>
      </c>
      <c r="G45" s="38"/>
      <c r="H45" s="38"/>
      <c r="I45" s="38"/>
      <c r="J45" s="39"/>
      <c r="L45" s="155">
        <f>IF($D44&gt;D48,0,IF($D44+D45&lt;D48,D45,D48-$D44))</f>
        <v>0</v>
      </c>
      <c r="M45" s="113"/>
      <c r="N45" s="136"/>
      <c r="O45" s="149"/>
      <c r="P45" s="113"/>
      <c r="Q45" s="113"/>
      <c r="R45" s="118"/>
    </row>
    <row r="46" spans="1:19" ht="21" customHeight="1" x14ac:dyDescent="0.25">
      <c r="A46" s="35"/>
      <c r="B46" s="36" t="s">
        <v>3</v>
      </c>
      <c r="C46" s="37"/>
      <c r="D46" s="464"/>
      <c r="E46" s="465"/>
      <c r="F46" s="36" t="s">
        <v>114</v>
      </c>
      <c r="G46" s="38"/>
      <c r="H46" s="38"/>
      <c r="I46" s="38"/>
      <c r="J46" s="39"/>
      <c r="L46" s="155">
        <f>IF($D44+$D45&gt;D48,0,IF($D44+$D45+D46&lt;D48,D46,D48-$D44-$D45))</f>
        <v>0</v>
      </c>
      <c r="M46" s="113"/>
      <c r="N46" s="136"/>
      <c r="O46" s="149"/>
      <c r="P46" s="184" t="s">
        <v>72</v>
      </c>
      <c r="Q46" s="113"/>
      <c r="R46" s="118"/>
    </row>
    <row r="47" spans="1:19" ht="21" customHeight="1" x14ac:dyDescent="0.25">
      <c r="A47" s="190"/>
      <c r="B47" s="36" t="s">
        <v>1</v>
      </c>
      <c r="C47" s="37"/>
      <c r="D47" s="464"/>
      <c r="E47" s="465"/>
      <c r="F47" s="36" t="s">
        <v>114</v>
      </c>
      <c r="G47" s="38"/>
      <c r="H47" s="38"/>
      <c r="I47" s="38"/>
      <c r="J47" s="39"/>
      <c r="L47" s="155">
        <f>IF($D44+$D45+$D46&gt;D48,0,IF($D44+$D45+$D46+D47&lt;D48,D47,D48-$D44-$D45-$D46))</f>
        <v>0</v>
      </c>
      <c r="M47" s="113"/>
      <c r="N47" s="136"/>
      <c r="O47" s="149"/>
      <c r="P47" s="181" t="s">
        <v>69</v>
      </c>
      <c r="Q47" s="113"/>
      <c r="R47" s="118"/>
    </row>
    <row r="48" spans="1:19" ht="15" customHeight="1" thickBot="1" x14ac:dyDescent="0.3">
      <c r="A48" s="411">
        <f>IF(A37="","",EOMONTH(A37,0)+1)</f>
        <v>44866</v>
      </c>
      <c r="B48" s="414" t="s">
        <v>9</v>
      </c>
      <c r="C48" s="415"/>
      <c r="D48" s="418">
        <f>IF($A$48="",0,IF(SUM(D44:E47)&lt;=$L$48,SUM(D44:E47),$L$48))</f>
        <v>0</v>
      </c>
      <c r="E48" s="419"/>
      <c r="F48" s="396" t="str">
        <f>IF('16号-1'!$Q$3=TRUE,"  ←　月計の上限額122,000円","  ←　月計の上限額97,000円")</f>
        <v xml:space="preserve">  ←　月計の上限額97,000円</v>
      </c>
      <c r="G48" s="397"/>
      <c r="H48" s="397"/>
      <c r="I48" s="394"/>
      <c r="J48" s="463"/>
      <c r="L48" s="151">
        <f>IF('16号-1'!$Q$3=TRUE,122000,97000)</f>
        <v>97000</v>
      </c>
      <c r="M48" s="113"/>
      <c r="N48" s="136"/>
      <c r="O48" s="149"/>
      <c r="P48" s="182" t="s">
        <v>70</v>
      </c>
      <c r="Q48" s="113"/>
      <c r="R48" s="115"/>
    </row>
    <row r="49" spans="1:19" ht="30" customHeight="1" thickBot="1" x14ac:dyDescent="0.3">
      <c r="A49" s="411"/>
      <c r="B49" s="416"/>
      <c r="C49" s="417"/>
      <c r="D49" s="420"/>
      <c r="E49" s="421"/>
      <c r="F49" s="384" t="str">
        <f>IF($A$15="",0,IF(SUM(D44:E47)&gt;$L$15,"　(1)～(4)の月計が上限額を超えています",""))</f>
        <v/>
      </c>
      <c r="G49" s="385"/>
      <c r="H49" s="385"/>
      <c r="I49" s="385"/>
      <c r="J49" s="386"/>
      <c r="L49" s="152"/>
      <c r="M49" s="125">
        <f>A48</f>
        <v>44866</v>
      </c>
      <c r="N49" s="136"/>
      <c r="O49" s="149"/>
      <c r="P49" s="183" t="s">
        <v>71</v>
      </c>
      <c r="Q49" s="113"/>
      <c r="R49" s="120"/>
    </row>
    <row r="50" spans="1:19" ht="15" customHeight="1" thickBot="1" x14ac:dyDescent="0.3">
      <c r="A50" s="35"/>
      <c r="B50" s="407" t="s">
        <v>12</v>
      </c>
      <c r="C50" s="408"/>
      <c r="D50" s="400"/>
      <c r="E50" s="401"/>
      <c r="F50" s="387" t="str">
        <f>IF('16号-1'!$Q$3=TRUE,"  ←　年度上限　420,000円","  ←　年度上限　120,000円")</f>
        <v xml:space="preserve">  ←　年度上限　120,000円</v>
      </c>
      <c r="G50" s="388"/>
      <c r="H50" s="388"/>
      <c r="I50" s="389"/>
      <c r="J50" s="390"/>
      <c r="L50" s="236">
        <f>IF($A48="",0,IF(SUM(D44:E47)&lt;=$L48,SUM(D44:E47),$L48))</f>
        <v>0</v>
      </c>
      <c r="M50" s="237"/>
      <c r="N50" s="238">
        <f>IF($A48="",0,IF($D52="",0,MIN(30000,$D52)))</f>
        <v>0</v>
      </c>
      <c r="O50" s="239">
        <f>IF($A48="",0,IF($D50="",0,MIN($P50,$D50)))</f>
        <v>0</v>
      </c>
      <c r="P50" s="151">
        <f>IF('16号-1'!$Q$3=TRUE,420000,120000)</f>
        <v>120000</v>
      </c>
      <c r="Q50" s="228">
        <f>A48</f>
        <v>44866</v>
      </c>
      <c r="R50" s="109">
        <f>IFERROR(DATEDIF('16号-1'!$Z$10,M49,"M")+1,"")</f>
        <v>18</v>
      </c>
      <c r="S50" s="89" t="str">
        <f>IF(R50="","",IF(R50&lt;13,"1年目","2年目"))</f>
        <v>2年目</v>
      </c>
    </row>
    <row r="51" spans="1:19" ht="15" customHeight="1" thickBot="1" x14ac:dyDescent="0.3">
      <c r="A51" s="35"/>
      <c r="B51" s="409"/>
      <c r="C51" s="410"/>
      <c r="D51" s="402"/>
      <c r="E51" s="403"/>
      <c r="F51" s="404" t="str">
        <f>IF(D50="","",IF(D50&gt;P50,"　入力金額が年度上限を越えています",""))</f>
        <v/>
      </c>
      <c r="G51" s="405"/>
      <c r="H51" s="405"/>
      <c r="I51" s="405"/>
      <c r="J51" s="406"/>
      <c r="L51" s="169"/>
      <c r="M51" s="166"/>
      <c r="N51" s="136"/>
      <c r="O51" s="229"/>
      <c r="P51" s="230"/>
      <c r="Q51" s="228"/>
      <c r="R51" s="231"/>
    </row>
    <row r="52" spans="1:19" ht="15" customHeight="1" x14ac:dyDescent="0.25">
      <c r="A52" s="35"/>
      <c r="B52" s="407" t="s">
        <v>8</v>
      </c>
      <c r="C52" s="235"/>
      <c r="D52" s="400"/>
      <c r="E52" s="424"/>
      <c r="F52" s="225" t="s">
        <v>32</v>
      </c>
      <c r="G52" s="226"/>
      <c r="H52" s="226"/>
      <c r="I52" s="226"/>
      <c r="J52" s="227"/>
      <c r="L52" s="170"/>
      <c r="M52" s="113"/>
      <c r="N52" s="135"/>
      <c r="O52" s="162" t="s">
        <v>54</v>
      </c>
      <c r="P52" s="113"/>
      <c r="Q52" s="113"/>
      <c r="R52" s="121"/>
    </row>
    <row r="53" spans="1:19" ht="15" customHeight="1" x14ac:dyDescent="0.25">
      <c r="A53" s="35"/>
      <c r="B53" s="409"/>
      <c r="C53" s="41"/>
      <c r="D53" s="402"/>
      <c r="E53" s="425"/>
      <c r="F53" s="234" t="str">
        <f>IF(D52="","",IF(D52&gt;30000,"　入力金額が年度上限を越えています",""))</f>
        <v/>
      </c>
      <c r="G53" s="232"/>
      <c r="H53" s="232"/>
      <c r="I53" s="232"/>
      <c r="J53" s="233"/>
      <c r="L53" s="170"/>
      <c r="M53" s="113"/>
      <c r="N53" s="135"/>
      <c r="O53" s="162"/>
      <c r="P53" s="113"/>
      <c r="Q53" s="113"/>
      <c r="R53" s="115"/>
    </row>
    <row r="54" spans="1:19" ht="21" customHeight="1" thickBot="1" x14ac:dyDescent="0.3">
      <c r="A54" s="42"/>
      <c r="B54" s="412" t="str">
        <f>IF($A48="","月計",MONTH(A48)&amp;"月計")</f>
        <v>11月計</v>
      </c>
      <c r="C54" s="413"/>
      <c r="D54" s="431">
        <f>SUM(L50:O50)</f>
        <v>0</v>
      </c>
      <c r="E54" s="423"/>
      <c r="F54" s="391"/>
      <c r="G54" s="392"/>
      <c r="H54" s="392"/>
      <c r="I54" s="392"/>
      <c r="J54" s="393"/>
      <c r="L54" s="171"/>
      <c r="M54" s="114"/>
      <c r="N54" s="167"/>
      <c r="O54" s="158"/>
      <c r="P54" s="114"/>
      <c r="Q54" s="113"/>
      <c r="R54" s="116"/>
    </row>
    <row r="55" spans="1:19" ht="21" customHeight="1" x14ac:dyDescent="0.25">
      <c r="A55" s="456" t="s">
        <v>49</v>
      </c>
      <c r="B55" s="31" t="s">
        <v>0</v>
      </c>
      <c r="C55" s="32"/>
      <c r="D55" s="442">
        <f>SUM(L44,L33,L22,L11)</f>
        <v>0</v>
      </c>
      <c r="E55" s="443"/>
      <c r="F55" s="450"/>
      <c r="G55" s="451"/>
      <c r="H55" s="451"/>
      <c r="I55" s="451"/>
      <c r="J55" s="452"/>
      <c r="L55" s="149" t="s">
        <v>102</v>
      </c>
      <c r="M55" s="136" t="s">
        <v>95</v>
      </c>
      <c r="N55" s="137" t="s">
        <v>96</v>
      </c>
      <c r="O55" s="245">
        <f>SUMIF(S17:S50,"1年目",O17:O50)</f>
        <v>0</v>
      </c>
      <c r="P55" s="255">
        <f>IF($M$6-Q57&gt;$P$17,$P$17,$M$6-Q57)</f>
        <v>120000</v>
      </c>
      <c r="Q55" s="244">
        <f>IF('16号-2①'!Q55&gt;=P55,0,MIN(P55-('16号-2①'!Q55),O55))</f>
        <v>0</v>
      </c>
    </row>
    <row r="56" spans="1:19" ht="21" customHeight="1" x14ac:dyDescent="0.25">
      <c r="A56" s="457"/>
      <c r="B56" s="36" t="s">
        <v>2</v>
      </c>
      <c r="C56" s="37"/>
      <c r="D56" s="440">
        <f>L12+L23+L34+L45</f>
        <v>0</v>
      </c>
      <c r="E56" s="441"/>
      <c r="F56" s="453"/>
      <c r="G56" s="454"/>
      <c r="H56" s="454"/>
      <c r="I56" s="454"/>
      <c r="J56" s="455"/>
      <c r="L56" s="144"/>
      <c r="N56" s="136" t="s">
        <v>97</v>
      </c>
      <c r="O56" s="245">
        <f>SUMIF(S17:S50,"2年目",O17:O50)</f>
        <v>0</v>
      </c>
      <c r="P56" s="255">
        <f>IF($M$6-Q58&gt;$P$17,$P$17,$M$6-Q58)</f>
        <v>120000</v>
      </c>
      <c r="Q56" s="244">
        <f>IF('16号-2①'!Q56&gt;=P56,0,MIN(P56-('16号-2①'!Q56),O56))</f>
        <v>0</v>
      </c>
    </row>
    <row r="57" spans="1:19" ht="21" customHeight="1" x14ac:dyDescent="0.25">
      <c r="A57" s="457"/>
      <c r="B57" s="36" t="s">
        <v>3</v>
      </c>
      <c r="C57" s="37"/>
      <c r="D57" s="440">
        <f>L13+L24+L35+L46</f>
        <v>0</v>
      </c>
      <c r="E57" s="441"/>
      <c r="F57" s="453"/>
      <c r="G57" s="454"/>
      <c r="H57" s="454"/>
      <c r="I57" s="454"/>
      <c r="J57" s="455"/>
      <c r="L57" s="144" t="s">
        <v>103</v>
      </c>
      <c r="M57" s="113" t="s">
        <v>104</v>
      </c>
      <c r="N57" s="137" t="s">
        <v>96</v>
      </c>
      <c r="O57" s="245">
        <f>SUMIF(S17:S50,"1年目",L17:L50)</f>
        <v>0</v>
      </c>
      <c r="P57" s="254"/>
      <c r="Q57" s="255">
        <f>IF(O57="",0,SUM('16号-2①'!O57,'16号-2②'!O57,'16号-2③'!O57,'16号-2④'!O57))</f>
        <v>0</v>
      </c>
    </row>
    <row r="58" spans="1:19" ht="21" customHeight="1" x14ac:dyDescent="0.25">
      <c r="A58" s="457"/>
      <c r="B58" s="36" t="s">
        <v>1</v>
      </c>
      <c r="C58" s="37"/>
      <c r="D58" s="440">
        <f>L14+L25+L36+L47</f>
        <v>0</v>
      </c>
      <c r="E58" s="441"/>
      <c r="F58" s="453"/>
      <c r="G58" s="454"/>
      <c r="H58" s="454"/>
      <c r="I58" s="454"/>
      <c r="J58" s="455"/>
      <c r="N58" s="136" t="s">
        <v>97</v>
      </c>
      <c r="O58" s="245">
        <f>SUMIF(S17:S51,"2年目",L17:L51)</f>
        <v>0</v>
      </c>
      <c r="P58" s="254"/>
      <c r="Q58" s="255">
        <f>IF(O58="",0,SUM('16号-2①'!O58,'16号-2②'!O58,'16号-2③'!O58,'16号-2④'!O58))</f>
        <v>0</v>
      </c>
    </row>
    <row r="59" spans="1:19" ht="21" customHeight="1" x14ac:dyDescent="0.25">
      <c r="A59" s="457"/>
      <c r="B59" s="461" t="s">
        <v>9</v>
      </c>
      <c r="C59" s="462"/>
      <c r="D59" s="436">
        <f>D15+D26+D37+D48</f>
        <v>0</v>
      </c>
      <c r="E59" s="437"/>
      <c r="F59" s="438" t="s">
        <v>77</v>
      </c>
      <c r="G59" s="439"/>
      <c r="H59" s="459" t="str">
        <f>IF('16号-1'!$Q$3=TRUE,"122,000円（※1）×月数","97,000円（※1）×月数")</f>
        <v>97,000円（※1）×月数</v>
      </c>
      <c r="I59" s="459"/>
      <c r="J59" s="460"/>
      <c r="L59" s="444"/>
      <c r="M59" s="446"/>
      <c r="N59" s="136"/>
      <c r="O59" s="144" t="s">
        <v>98</v>
      </c>
      <c r="P59" s="144" t="s">
        <v>99</v>
      </c>
      <c r="Q59" s="144" t="s">
        <v>101</v>
      </c>
    </row>
    <row r="60" spans="1:19" ht="21" customHeight="1" x14ac:dyDescent="0.25">
      <c r="A60" s="457"/>
      <c r="B60" s="36" t="s">
        <v>12</v>
      </c>
      <c r="C60" s="41"/>
      <c r="D60" s="440">
        <f>IF($A15="",0,SUM(Q55:Q56))</f>
        <v>0</v>
      </c>
      <c r="E60" s="441"/>
      <c r="F60" s="438" t="s">
        <v>78</v>
      </c>
      <c r="G60" s="439"/>
      <c r="H60" s="459" t="str">
        <f>IF('16号-1'!$Q$3=TRUE,"420,000円（※2）","120,000円（※2）")</f>
        <v>120,000円（※2）</v>
      </c>
      <c r="I60" s="459"/>
      <c r="J60" s="195"/>
      <c r="L60" s="445"/>
      <c r="M60" s="446"/>
      <c r="N60" s="136"/>
      <c r="O60" s="149"/>
      <c r="P60" s="113"/>
      <c r="Q60" s="258"/>
    </row>
    <row r="61" spans="1:19" ht="21" customHeight="1" x14ac:dyDescent="0.25">
      <c r="A61" s="457"/>
      <c r="B61" s="36" t="s">
        <v>8</v>
      </c>
      <c r="C61" s="41"/>
      <c r="D61" s="440">
        <f>IF($A15="",0,Q66)</f>
        <v>0</v>
      </c>
      <c r="E61" s="441"/>
      <c r="F61" s="124" t="s">
        <v>62</v>
      </c>
      <c r="G61" s="122"/>
      <c r="H61" s="122"/>
      <c r="I61" s="122"/>
      <c r="J61" s="98"/>
      <c r="L61" s="113"/>
      <c r="M61" s="113" t="s">
        <v>106</v>
      </c>
      <c r="N61" s="137" t="s">
        <v>96</v>
      </c>
      <c r="O61" s="259"/>
      <c r="P61" s="254"/>
      <c r="Q61" s="255">
        <f>SUM('16号-2②'!Q57,'16号-2①'!Q55,'16号-2②'!Q55,'16号-2③'!Q55,'16号-2④'!Q55)</f>
        <v>0</v>
      </c>
    </row>
    <row r="62" spans="1:19" ht="21.75" customHeight="1" thickBot="1" x14ac:dyDescent="0.3">
      <c r="A62" s="458"/>
      <c r="B62" s="412" t="s">
        <v>13</v>
      </c>
      <c r="C62" s="413"/>
      <c r="D62" s="431">
        <f>SUM(D59:E61)</f>
        <v>0</v>
      </c>
      <c r="E62" s="423"/>
      <c r="F62" s="99"/>
      <c r="G62" s="100"/>
      <c r="H62" s="100"/>
      <c r="I62" s="100"/>
      <c r="J62" s="101"/>
      <c r="N62" s="136" t="s">
        <v>97</v>
      </c>
      <c r="O62" s="259"/>
      <c r="P62" s="254"/>
      <c r="Q62" s="255">
        <f>SUM('16号-2②'!Q58,'16号-2①'!Q56,'16号-2②'!Q56,'16号-2③'!Q56,'16号-2④'!Q56)</f>
        <v>0</v>
      </c>
    </row>
    <row r="63" spans="1:19" ht="6.75" customHeight="1" x14ac:dyDescent="0.25">
      <c r="A63" s="199"/>
      <c r="B63" s="200"/>
      <c r="C63" s="200"/>
      <c r="D63" s="201"/>
      <c r="E63" s="201"/>
      <c r="F63" s="202"/>
      <c r="G63" s="202"/>
      <c r="H63" s="202"/>
      <c r="I63" s="202"/>
      <c r="J63" s="203"/>
    </row>
    <row r="64" spans="1:19" ht="15.75" customHeight="1" x14ac:dyDescent="0.25">
      <c r="A64" s="205" t="str">
        <f>CONCATENATE("※1 月額上限",IF('16号-1'!$Q$3=TRUE,"122,000円","97,000円"))</f>
        <v>※1 月額上限97,000円</v>
      </c>
      <c r="B64" s="200"/>
      <c r="C64" s="200"/>
      <c r="D64" s="201"/>
      <c r="E64" s="201"/>
      <c r="F64" s="202"/>
      <c r="G64" s="202"/>
      <c r="H64" s="202"/>
      <c r="I64" s="202"/>
      <c r="J64" s="203"/>
      <c r="K64" s="204"/>
      <c r="Q64" s="144" t="s">
        <v>101</v>
      </c>
    </row>
    <row r="65" spans="1:17" ht="15.75" customHeight="1" x14ac:dyDescent="0.25">
      <c r="A65" s="205" t="str">
        <f>CONCATENATE("※2 年間上限",IF('16号-1'!$Q$3=TRUE,"420,000円","120,000円"))</f>
        <v>※2 年間上限120,000円</v>
      </c>
      <c r="B65" s="196"/>
      <c r="C65" s="196"/>
      <c r="D65" s="196"/>
      <c r="E65" s="196"/>
      <c r="F65" s="196"/>
      <c r="G65" s="196"/>
      <c r="H65" s="196"/>
      <c r="I65" s="196"/>
      <c r="J65" s="196"/>
      <c r="N65" s="88"/>
    </row>
    <row r="66" spans="1:17" ht="15.75" customHeight="1" x14ac:dyDescent="0.25">
      <c r="A66" s="205" t="str">
        <f>CONCATENATE("（※1※2の合計は年間上限",IF('16号-1'!$Q$3=TRUE,"1,500,000円","1,200,000円"),"）")</f>
        <v>（※1※2の合計は年間上限1,200,000円）</v>
      </c>
      <c r="B66" s="196"/>
      <c r="C66" s="196"/>
      <c r="D66" s="196"/>
      <c r="E66" s="196"/>
      <c r="F66" s="196"/>
      <c r="G66" s="196"/>
      <c r="H66" s="196"/>
      <c r="I66" s="196"/>
      <c r="J66" s="196"/>
      <c r="K66" s="107"/>
      <c r="L66" s="144" t="s">
        <v>116</v>
      </c>
      <c r="M66" s="88" t="s">
        <v>115</v>
      </c>
      <c r="N66" s="137" t="s">
        <v>117</v>
      </c>
      <c r="O66" s="245">
        <f>SUM(N17:N50)</f>
        <v>0</v>
      </c>
      <c r="P66" s="255">
        <v>180000</v>
      </c>
      <c r="Q66" s="244">
        <f>IF('16号-2①'!Q66&gt;=P66,0,MIN(P66-('16号-2①'!Q66),O66))</f>
        <v>0</v>
      </c>
    </row>
    <row r="67" spans="1:17" ht="21.95" customHeight="1" x14ac:dyDescent="0.25">
      <c r="A67" s="196"/>
      <c r="B67" s="196"/>
      <c r="C67" s="196"/>
      <c r="D67" s="196"/>
      <c r="E67" s="196"/>
      <c r="F67" s="196"/>
      <c r="G67" s="196"/>
      <c r="H67" s="196"/>
      <c r="I67" s="196"/>
      <c r="J67" s="196"/>
      <c r="N67" s="88"/>
    </row>
    <row r="68" spans="1:17" ht="9.75" customHeight="1" x14ac:dyDescent="0.25">
      <c r="A68" s="196"/>
      <c r="B68" s="196"/>
      <c r="C68" s="196"/>
      <c r="D68" s="196"/>
      <c r="E68" s="196"/>
      <c r="F68" s="196"/>
      <c r="G68" s="196"/>
      <c r="H68" s="196"/>
      <c r="I68" s="196"/>
      <c r="J68" s="196"/>
      <c r="N68" s="88"/>
    </row>
  </sheetData>
  <sheetProtection algorithmName="SHA-512" hashValue="T4KZnyasETRjd3UPypygUnWrAoC1SldfZqL/vRrLhlsVINtOFkatT6HhUwvg1DOos7t42VUl1krA0nmlgFkeIw==" saltValue="8/Ev86xl30LFJI6GhlpdGQ==" spinCount="100000" sheet="1" objects="1" selectLockedCells="1"/>
  <mergeCells count="107">
    <mergeCell ref="L59:L60"/>
    <mergeCell ref="M59:M60"/>
    <mergeCell ref="L6:L7"/>
    <mergeCell ref="M6:M7"/>
    <mergeCell ref="A15:A16"/>
    <mergeCell ref="B15:C16"/>
    <mergeCell ref="D15:E16"/>
    <mergeCell ref="B4:H4"/>
    <mergeCell ref="C6:J6"/>
    <mergeCell ref="C7:J7"/>
    <mergeCell ref="C8:D8"/>
    <mergeCell ref="F8:G8"/>
    <mergeCell ref="B10:C10"/>
    <mergeCell ref="D10:E10"/>
    <mergeCell ref="F10:J10"/>
    <mergeCell ref="F15:J15"/>
    <mergeCell ref="F16:J16"/>
    <mergeCell ref="B17:C18"/>
    <mergeCell ref="D17:E18"/>
    <mergeCell ref="F17:H17"/>
    <mergeCell ref="I17:J17"/>
    <mergeCell ref="F18:J18"/>
    <mergeCell ref="D11:E11"/>
    <mergeCell ref="D12:E12"/>
    <mergeCell ref="B28:C29"/>
    <mergeCell ref="D28:E29"/>
    <mergeCell ref="F28:H28"/>
    <mergeCell ref="I28:J28"/>
    <mergeCell ref="F29:J29"/>
    <mergeCell ref="D23:E23"/>
    <mergeCell ref="D24:E24"/>
    <mergeCell ref="D25:E25"/>
    <mergeCell ref="D13:E13"/>
    <mergeCell ref="D14:E14"/>
    <mergeCell ref="B19:B20"/>
    <mergeCell ref="D19:E20"/>
    <mergeCell ref="B21:C21"/>
    <mergeCell ref="D21:E21"/>
    <mergeCell ref="F21:J21"/>
    <mergeCell ref="D22:E22"/>
    <mergeCell ref="F26:H26"/>
    <mergeCell ref="I26:J26"/>
    <mergeCell ref="A26:A27"/>
    <mergeCell ref="B26:C27"/>
    <mergeCell ref="D26:E27"/>
    <mergeCell ref="B39:C40"/>
    <mergeCell ref="D39:E40"/>
    <mergeCell ref="F39:H39"/>
    <mergeCell ref="I39:J39"/>
    <mergeCell ref="F40:J40"/>
    <mergeCell ref="D34:E34"/>
    <mergeCell ref="D35:E35"/>
    <mergeCell ref="D36:E36"/>
    <mergeCell ref="A37:A38"/>
    <mergeCell ref="B37:C38"/>
    <mergeCell ref="D37:E38"/>
    <mergeCell ref="B30:B31"/>
    <mergeCell ref="D30:E31"/>
    <mergeCell ref="B32:C32"/>
    <mergeCell ref="D32:E32"/>
    <mergeCell ref="F32:J32"/>
    <mergeCell ref="D33:E33"/>
    <mergeCell ref="F37:H37"/>
    <mergeCell ref="I37:J37"/>
    <mergeCell ref="F38:J38"/>
    <mergeCell ref="F27:J27"/>
    <mergeCell ref="A48:A49"/>
    <mergeCell ref="B48:C49"/>
    <mergeCell ref="D48:E49"/>
    <mergeCell ref="B41:B42"/>
    <mergeCell ref="D41:E42"/>
    <mergeCell ref="B43:C43"/>
    <mergeCell ref="D43:E43"/>
    <mergeCell ref="F43:J43"/>
    <mergeCell ref="D44:E44"/>
    <mergeCell ref="F48:H48"/>
    <mergeCell ref="I48:J48"/>
    <mergeCell ref="F49:J49"/>
    <mergeCell ref="B50:C51"/>
    <mergeCell ref="D50:E51"/>
    <mergeCell ref="F50:H50"/>
    <mergeCell ref="I50:J50"/>
    <mergeCell ref="F51:J51"/>
    <mergeCell ref="D45:E45"/>
    <mergeCell ref="D46:E46"/>
    <mergeCell ref="D47:E47"/>
    <mergeCell ref="B52:B53"/>
    <mergeCell ref="D52:E53"/>
    <mergeCell ref="B54:C54"/>
    <mergeCell ref="D54:E54"/>
    <mergeCell ref="F54:J54"/>
    <mergeCell ref="A55:A62"/>
    <mergeCell ref="D55:E55"/>
    <mergeCell ref="F55:J58"/>
    <mergeCell ref="D56:E56"/>
    <mergeCell ref="D57:E57"/>
    <mergeCell ref="D61:E61"/>
    <mergeCell ref="B62:C62"/>
    <mergeCell ref="D62:E62"/>
    <mergeCell ref="D58:E58"/>
    <mergeCell ref="B59:C59"/>
    <mergeCell ref="D59:E59"/>
    <mergeCell ref="F59:G59"/>
    <mergeCell ref="H59:J59"/>
    <mergeCell ref="D60:E60"/>
    <mergeCell ref="F60:G60"/>
    <mergeCell ref="H60:I60"/>
  </mergeCells>
  <phoneticPr fontId="2"/>
  <conditionalFormatting sqref="B48:J48 A50:A54 D54:J54 B49:E49 A44:C47 G44:J47">
    <cfRule type="expression" dxfId="8" priority="2">
      <formula>AND($A$48="",$A$15&lt;&gt;"")</formula>
    </cfRule>
  </conditionalFormatting>
  <conditionalFormatting sqref="B37:J37 A39:A43 D43:J43 B38:E38 A33:C36 G33:J36">
    <cfRule type="expression" dxfId="7" priority="1">
      <formula>AND($A$37="",$A$15&lt;&gt;"")</formula>
    </cfRule>
  </conditionalFormatting>
  <dataValidations count="3">
    <dataValidation type="whole" allowBlank="1" showInputMessage="1" showErrorMessage="1" errorTitle="入力値が不正です" error="月上限額を超えている、またはテキストが入力されています_x000a__x000a__x000a_" sqref="D33:E36 D11:E14 D22:E25 D44:E47" xr:uid="{D0D4F523-00AD-4AEB-AA28-74B959C845C1}">
      <formula1>0</formula1>
      <formula2>$L$15</formula2>
    </dataValidation>
    <dataValidation type="whole" allowBlank="1" showInputMessage="1" showErrorMessage="1" errorTitle="入力値が不正です" error="月上限額を超えている、またはテキストが入力されています" sqref="D19:E20 D30:E31 D41:E42 D52:E53" xr:uid="{A8C5209C-6E1F-4141-801B-EE3B867778AE}">
      <formula1>0</formula1>
      <formula2>30000</formula2>
    </dataValidation>
    <dataValidation type="whole" allowBlank="1" showInputMessage="1" showErrorMessage="1" errorTitle="入力値が不正です" error="年上限額を超えている、またはテキストが入力されています_x000a_" sqref="D17:E18 D28:E29 D39:E40 D50:E51" xr:uid="{CB9058B1-2BAE-434E-83C8-42BAB214B7C0}">
      <formula1>0</formula1>
      <formula2>$P$17</formula2>
    </dataValidation>
  </dataValidations>
  <printOptions horizontalCentered="1" verticalCentered="1"/>
  <pageMargins left="0.15748031496062992" right="0.15748031496062992" top="0.27559055118110237" bottom="0.27559055118110237" header="0.15748031496062992" footer="0.15748031496062992"/>
  <pageSetup paperSize="9" scale="71"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F1879-BA0A-4A2B-A723-7E0F06518ADC}">
  <sheetPr>
    <tabColor rgb="FFFFC000"/>
    <pageSetUpPr fitToPage="1"/>
  </sheetPr>
  <dimension ref="A1:V68"/>
  <sheetViews>
    <sheetView showGridLines="0" view="pageBreakPreview" zoomScale="50" zoomScaleNormal="70" zoomScaleSheetLayoutView="50" workbookViewId="0">
      <selection activeCell="D11" sqref="D11:E11"/>
    </sheetView>
  </sheetViews>
  <sheetFormatPr defaultRowHeight="21.75" x14ac:dyDescent="0.25"/>
  <cols>
    <col min="1" max="1" width="15.125" style="78" customWidth="1"/>
    <col min="2" max="2" width="21.625" style="77" customWidth="1"/>
    <col min="3" max="3" width="8.5" style="77" customWidth="1"/>
    <col min="4" max="4" width="30.625" style="79" customWidth="1"/>
    <col min="5" max="5" width="3.625" style="80" customWidth="1"/>
    <col min="6" max="7" width="11.625" style="77" customWidth="1"/>
    <col min="8" max="8" width="6.625" style="77" customWidth="1"/>
    <col min="9" max="10" width="8.625" style="77" customWidth="1"/>
    <col min="11" max="11" width="62.625" style="93" customWidth="1"/>
    <col min="12" max="12" width="10.5" style="88" hidden="1" customWidth="1"/>
    <col min="13" max="13" width="12.5" style="88" hidden="1" customWidth="1"/>
    <col min="14" max="14" width="9.25" style="137" hidden="1" customWidth="1"/>
    <col min="15" max="15" width="10.25" style="144" hidden="1" customWidth="1"/>
    <col min="16" max="16" width="10.625" style="88" hidden="1" customWidth="1"/>
    <col min="17" max="17" width="15.625" style="88" hidden="1" customWidth="1"/>
    <col min="18" max="18" width="4.625" style="88" hidden="1" customWidth="1"/>
    <col min="19" max="19" width="9" style="89" hidden="1" customWidth="1"/>
    <col min="20" max="20" width="9" style="89" customWidth="1"/>
    <col min="21" max="22" width="9" style="89"/>
    <col min="23" max="16384" width="9" style="9"/>
  </cols>
  <sheetData>
    <row r="1" spans="1:22" ht="56.25" customHeight="1" thickBot="1" x14ac:dyDescent="0.3">
      <c r="A1" s="46"/>
      <c r="B1" s="19"/>
      <c r="C1" s="19"/>
      <c r="D1" s="20"/>
      <c r="E1" s="49"/>
      <c r="F1" s="19"/>
      <c r="G1" s="19"/>
      <c r="H1" s="19"/>
      <c r="I1" s="19"/>
      <c r="J1" s="19"/>
      <c r="O1" s="138"/>
    </row>
    <row r="2" spans="1:22" ht="27" customHeight="1" thickTop="1" thickBot="1" x14ac:dyDescent="0.35">
      <c r="A2" s="18"/>
      <c r="B2" s="19"/>
      <c r="C2" s="19"/>
      <c r="D2" s="20"/>
      <c r="E2" s="49"/>
      <c r="F2" s="21"/>
      <c r="G2" s="21"/>
      <c r="H2" s="21"/>
      <c r="I2" s="21"/>
      <c r="J2" s="22" t="str">
        <f>'16号-1'!L3</f>
        <v>令和3年6月研修開始</v>
      </c>
      <c r="L2" s="178">
        <f>EOMONTH('16号-1'!$Z$10,11)</f>
        <v>44712</v>
      </c>
      <c r="M2" s="139" t="s">
        <v>58</v>
      </c>
      <c r="N2" s="140"/>
      <c r="O2" s="141"/>
      <c r="P2" s="110"/>
      <c r="Q2" s="110"/>
      <c r="R2" s="111"/>
    </row>
    <row r="3" spans="1:22" ht="24.75" thickTop="1" x14ac:dyDescent="0.35">
      <c r="A3" s="23" t="s">
        <v>85</v>
      </c>
      <c r="B3" s="19"/>
      <c r="C3" s="19"/>
      <c r="D3" s="20"/>
      <c r="E3" s="49"/>
      <c r="F3" s="24"/>
      <c r="G3" s="24"/>
      <c r="H3" s="24"/>
      <c r="I3" s="24"/>
      <c r="J3" s="24"/>
      <c r="L3" s="142"/>
      <c r="M3" s="142"/>
      <c r="N3" s="143"/>
    </row>
    <row r="4" spans="1:22" ht="23.25" customHeight="1" x14ac:dyDescent="0.35">
      <c r="A4" s="23"/>
      <c r="B4" s="380" t="s">
        <v>83</v>
      </c>
      <c r="C4" s="380"/>
      <c r="D4" s="380"/>
      <c r="E4" s="380"/>
      <c r="F4" s="380"/>
      <c r="G4" s="380"/>
      <c r="H4" s="380"/>
      <c r="I4" s="24"/>
      <c r="J4" s="24"/>
      <c r="L4" s="142"/>
      <c r="M4" s="142"/>
      <c r="N4" s="143"/>
    </row>
    <row r="5" spans="1:22" ht="19.5" customHeight="1" x14ac:dyDescent="0.25">
      <c r="A5" s="224" t="str">
        <f>IF('16号-1'!$W$16="","（月別内訳③：）","（月別内訳③："&amp;YEAR('16号-1'!T16)&amp;"年"&amp;MONTH('16号-1'!T16)&amp;"月～"&amp;YEAR('16号-1'!U16)&amp;"年"&amp;MONTH('16号-1'!U16)&amp;"月）")</f>
        <v>（月別内訳③：2022年12月～2023年3月）</v>
      </c>
      <c r="B5" s="25"/>
      <c r="C5" s="25"/>
      <c r="D5" s="86"/>
      <c r="E5" s="50"/>
      <c r="F5" s="25"/>
      <c r="G5" s="25"/>
      <c r="H5" s="25"/>
      <c r="I5" s="25"/>
      <c r="J5" s="25"/>
    </row>
    <row r="6" spans="1:22" s="10" customFormat="1" ht="24" x14ac:dyDescent="0.35">
      <c r="A6" s="26"/>
      <c r="B6" s="27" t="s">
        <v>6</v>
      </c>
      <c r="C6" s="426" t="str">
        <f>IF('16号-1'!$G$10="","",'16号-1'!$G$10)</f>
        <v/>
      </c>
      <c r="D6" s="426"/>
      <c r="E6" s="426"/>
      <c r="F6" s="426"/>
      <c r="G6" s="426"/>
      <c r="H6" s="426"/>
      <c r="I6" s="426"/>
      <c r="J6" s="426"/>
      <c r="K6" s="94"/>
      <c r="L6" s="447" t="s">
        <v>105</v>
      </c>
      <c r="M6" s="449">
        <f>IF('16号-1'!$Q$3=TRUE,1500000,1200000)</f>
        <v>1200000</v>
      </c>
      <c r="N6" s="145"/>
      <c r="O6" s="146"/>
      <c r="P6" s="90"/>
      <c r="Q6" s="90"/>
      <c r="R6" s="90"/>
      <c r="S6" s="91"/>
      <c r="T6" s="91"/>
      <c r="U6" s="91"/>
      <c r="V6" s="91"/>
    </row>
    <row r="7" spans="1:22" s="10" customFormat="1" ht="24" x14ac:dyDescent="0.35">
      <c r="A7" s="26"/>
      <c r="B7" s="27" t="s">
        <v>4</v>
      </c>
      <c r="C7" s="426" t="str">
        <f>IF('16号-1'!$E$20="","",'16号-1'!$E$20)</f>
        <v/>
      </c>
      <c r="D7" s="426"/>
      <c r="E7" s="426"/>
      <c r="F7" s="426"/>
      <c r="G7" s="426"/>
      <c r="H7" s="426"/>
      <c r="I7" s="426"/>
      <c r="J7" s="426"/>
      <c r="K7" s="94"/>
      <c r="L7" s="448"/>
      <c r="M7" s="449"/>
      <c r="N7" s="145"/>
      <c r="O7" s="146"/>
      <c r="P7" s="90"/>
      <c r="Q7" s="90"/>
      <c r="R7" s="90"/>
      <c r="S7" s="91"/>
      <c r="T7" s="91"/>
      <c r="U7" s="91"/>
      <c r="V7" s="91"/>
    </row>
    <row r="8" spans="1:22" ht="6" hidden="1" customHeight="1" x14ac:dyDescent="0.3">
      <c r="A8" s="18"/>
      <c r="B8" s="28"/>
      <c r="C8" s="430"/>
      <c r="D8" s="430"/>
      <c r="E8" s="51"/>
      <c r="F8" s="429"/>
      <c r="G8" s="429"/>
      <c r="H8" s="211"/>
      <c r="I8" s="211"/>
      <c r="J8" s="19"/>
      <c r="K8" s="95"/>
    </row>
    <row r="9" spans="1:22" ht="6.75" customHeight="1" thickBot="1" x14ac:dyDescent="0.3">
      <c r="A9" s="18"/>
      <c r="B9" s="29"/>
      <c r="C9" s="29"/>
      <c r="D9" s="20"/>
      <c r="E9" s="49"/>
      <c r="F9" s="19"/>
      <c r="G9" s="19"/>
      <c r="H9" s="19"/>
      <c r="I9" s="19"/>
      <c r="J9" s="45"/>
    </row>
    <row r="10" spans="1:22" ht="29.25" customHeight="1" thickBot="1" x14ac:dyDescent="0.3">
      <c r="A10" s="30"/>
      <c r="B10" s="432" t="s">
        <v>11</v>
      </c>
      <c r="C10" s="433"/>
      <c r="D10" s="427" t="s">
        <v>10</v>
      </c>
      <c r="E10" s="428"/>
      <c r="F10" s="432" t="s">
        <v>44</v>
      </c>
      <c r="G10" s="434"/>
      <c r="H10" s="434"/>
      <c r="I10" s="434"/>
      <c r="J10" s="435"/>
      <c r="L10" s="172" t="s">
        <v>60</v>
      </c>
      <c r="M10" s="173" t="s">
        <v>52</v>
      </c>
      <c r="N10" s="174" t="s">
        <v>53</v>
      </c>
      <c r="O10" s="174" t="s">
        <v>92</v>
      </c>
      <c r="P10" s="175" t="s">
        <v>57</v>
      </c>
      <c r="Q10" s="176"/>
      <c r="R10" s="177" t="s">
        <v>61</v>
      </c>
    </row>
    <row r="11" spans="1:22" ht="21" customHeight="1" x14ac:dyDescent="0.25">
      <c r="A11" s="30"/>
      <c r="B11" s="31" t="s">
        <v>0</v>
      </c>
      <c r="C11" s="32"/>
      <c r="D11" s="398"/>
      <c r="E11" s="399"/>
      <c r="F11" s="31" t="s">
        <v>114</v>
      </c>
      <c r="G11" s="33"/>
      <c r="H11" s="33"/>
      <c r="I11" s="33"/>
      <c r="J11" s="34"/>
      <c r="L11" s="147">
        <f>IF(A15="",0,IF(D11="",0,MIN(D11,L15)))</f>
        <v>0</v>
      </c>
      <c r="M11" s="113"/>
      <c r="N11" s="136"/>
      <c r="O11" s="179"/>
      <c r="P11" s="113"/>
      <c r="Q11" s="113"/>
      <c r="R11" s="115"/>
    </row>
    <row r="12" spans="1:22" ht="21" customHeight="1" x14ac:dyDescent="0.25">
      <c r="A12" s="35"/>
      <c r="B12" s="36" t="s">
        <v>2</v>
      </c>
      <c r="C12" s="37"/>
      <c r="D12" s="464"/>
      <c r="E12" s="465"/>
      <c r="F12" s="36" t="s">
        <v>114</v>
      </c>
      <c r="G12" s="38"/>
      <c r="H12" s="38"/>
      <c r="I12" s="38"/>
      <c r="J12" s="39"/>
      <c r="L12" s="148">
        <f>IF($D11&gt;D15,0,IF($D11+D12&lt;D15,D12,D15-$D11))</f>
        <v>0</v>
      </c>
      <c r="M12" s="113"/>
      <c r="N12" s="136"/>
      <c r="O12" s="149"/>
      <c r="P12" s="113"/>
      <c r="Q12" s="113"/>
      <c r="R12" s="115"/>
    </row>
    <row r="13" spans="1:22" ht="21" customHeight="1" x14ac:dyDescent="0.25">
      <c r="A13" s="35"/>
      <c r="B13" s="36" t="s">
        <v>3</v>
      </c>
      <c r="C13" s="37"/>
      <c r="D13" s="464"/>
      <c r="E13" s="465"/>
      <c r="F13" s="36" t="s">
        <v>114</v>
      </c>
      <c r="G13" s="38"/>
      <c r="H13" s="38"/>
      <c r="I13" s="38"/>
      <c r="J13" s="39"/>
      <c r="L13" s="148">
        <f>IF($D11+$D12&gt;D15,0,IF($D11+$D12+D13&lt;D15,D13,D15-$D11-$D12))</f>
        <v>0</v>
      </c>
      <c r="M13" s="113"/>
      <c r="N13" s="136"/>
      <c r="O13" s="149"/>
      <c r="P13" s="113"/>
      <c r="Q13" s="113"/>
      <c r="R13" s="115"/>
    </row>
    <row r="14" spans="1:22" ht="21" customHeight="1" x14ac:dyDescent="0.25">
      <c r="A14" s="40"/>
      <c r="B14" s="36" t="s">
        <v>1</v>
      </c>
      <c r="C14" s="37"/>
      <c r="D14" s="464"/>
      <c r="E14" s="465"/>
      <c r="F14" s="36" t="s">
        <v>114</v>
      </c>
      <c r="G14" s="38"/>
      <c r="H14" s="38"/>
      <c r="I14" s="38"/>
      <c r="J14" s="39"/>
      <c r="L14" s="148">
        <f>IF($D11+$D12+$D13&gt;D15,0,IF($D11+$D12+$D13+D14&lt;D15,D14,D15-$D11-$D12-$D13))</f>
        <v>0</v>
      </c>
      <c r="M14" s="113"/>
      <c r="N14" s="136"/>
      <c r="O14" s="150"/>
      <c r="P14" s="113"/>
      <c r="Q14" s="113"/>
      <c r="R14" s="115"/>
    </row>
    <row r="15" spans="1:22" ht="15" customHeight="1" thickBot="1" x14ac:dyDescent="0.3">
      <c r="A15" s="411">
        <f>IF('16号-1'!W16="","",'16号-1'!T16)</f>
        <v>44896</v>
      </c>
      <c r="B15" s="414" t="s">
        <v>9</v>
      </c>
      <c r="C15" s="415"/>
      <c r="D15" s="418">
        <f>IF($A$15="",0,IF(SUM(D11:E14)&lt;=$L$15,SUM(D11:E14),$L$15))</f>
        <v>0</v>
      </c>
      <c r="E15" s="419"/>
      <c r="F15" s="381" t="str">
        <f>IF('16号-1'!$Q$3=TRUE,"  ←　月計の上限額122,000円","  ←　月計の上限額97,000円")</f>
        <v xml:space="preserve">  ←　月計の上限額97,000円</v>
      </c>
      <c r="G15" s="382"/>
      <c r="H15" s="382"/>
      <c r="I15" s="382"/>
      <c r="J15" s="383"/>
      <c r="L15" s="151">
        <f>IF('16号-1'!$Q$3=TRUE,122000,97000)</f>
        <v>97000</v>
      </c>
      <c r="R15" s="115"/>
    </row>
    <row r="16" spans="1:22" ht="30" customHeight="1" thickBot="1" x14ac:dyDescent="0.3">
      <c r="A16" s="411"/>
      <c r="B16" s="416"/>
      <c r="C16" s="417"/>
      <c r="D16" s="420"/>
      <c r="E16" s="421"/>
      <c r="F16" s="384" t="str">
        <f>IF($A$15="",0,IF(SUM(D11:E14)&gt;$L$15,"　(1)～(4)の月計が上限額を超えています",""))</f>
        <v/>
      </c>
      <c r="G16" s="385"/>
      <c r="H16" s="385"/>
      <c r="I16" s="385"/>
      <c r="J16" s="386"/>
      <c r="L16" s="152"/>
      <c r="M16" s="125">
        <f>A15</f>
        <v>44896</v>
      </c>
      <c r="N16" s="108"/>
      <c r="O16" s="149"/>
      <c r="P16" s="113"/>
      <c r="Q16" s="113"/>
      <c r="R16" s="120"/>
    </row>
    <row r="17" spans="1:19" ht="15" customHeight="1" thickBot="1" x14ac:dyDescent="0.3">
      <c r="A17" s="35"/>
      <c r="B17" s="407" t="s">
        <v>12</v>
      </c>
      <c r="C17" s="408"/>
      <c r="D17" s="400"/>
      <c r="E17" s="401"/>
      <c r="F17" s="387" t="str">
        <f>IF('16号-1'!$Q$3=TRUE,"  ←　年度上限　420,000円","  ←　年度上限　120,000円")</f>
        <v xml:space="preserve">  ←　年度上限　120,000円</v>
      </c>
      <c r="G17" s="388"/>
      <c r="H17" s="388"/>
      <c r="I17" s="389"/>
      <c r="J17" s="390"/>
      <c r="L17" s="236">
        <f>IF($A15="",0,IF(SUM(D11:E14)&lt;=$L15,SUM(D11:E14),$L15))</f>
        <v>0</v>
      </c>
      <c r="M17" s="237"/>
      <c r="N17" s="238">
        <f>IF($A15="",0,IF($D19="",0,MIN(30000,$D19)))</f>
        <v>0</v>
      </c>
      <c r="O17" s="239">
        <f>IF($A15="",0,IF($D17="",0,MIN($P17,$D17)))</f>
        <v>0</v>
      </c>
      <c r="P17" s="151">
        <f>IF('16号-1'!$Q$3=TRUE,420000,120000)</f>
        <v>120000</v>
      </c>
      <c r="Q17" s="228">
        <f>A15</f>
        <v>44896</v>
      </c>
      <c r="R17" s="109">
        <f>IFERROR(DATEDIF('16号-1'!$Z$10,M16,"M")+1,"")</f>
        <v>19</v>
      </c>
      <c r="S17" s="89" t="str">
        <f>IF(R17="","",IF(R17&lt;13,"1年目","2年目"))</f>
        <v>2年目</v>
      </c>
    </row>
    <row r="18" spans="1:19" ht="15" customHeight="1" thickBot="1" x14ac:dyDescent="0.3">
      <c r="A18" s="35"/>
      <c r="B18" s="409"/>
      <c r="C18" s="410"/>
      <c r="D18" s="402"/>
      <c r="E18" s="403"/>
      <c r="F18" s="404" t="str">
        <f>IF(D17="","",IF(D17&gt;P17,"　入力金額が年度上限を越えています",""))</f>
        <v/>
      </c>
      <c r="G18" s="405"/>
      <c r="H18" s="405"/>
      <c r="I18" s="405"/>
      <c r="J18" s="406"/>
      <c r="L18" s="153"/>
      <c r="M18" s="154"/>
      <c r="N18" s="135"/>
      <c r="O18" s="229"/>
      <c r="P18" s="230"/>
      <c r="Q18" s="228"/>
      <c r="R18" s="231"/>
    </row>
    <row r="19" spans="1:19" ht="15" customHeight="1" x14ac:dyDescent="0.25">
      <c r="A19" s="35"/>
      <c r="B19" s="407" t="s">
        <v>8</v>
      </c>
      <c r="C19" s="235"/>
      <c r="D19" s="400"/>
      <c r="E19" s="424"/>
      <c r="F19" s="225" t="s">
        <v>32</v>
      </c>
      <c r="G19" s="226"/>
      <c r="H19" s="226"/>
      <c r="I19" s="226"/>
      <c r="J19" s="227"/>
      <c r="L19" s="155"/>
      <c r="M19" s="113"/>
      <c r="N19" s="135"/>
      <c r="O19" s="149"/>
      <c r="P19" s="113"/>
      <c r="Q19" s="113"/>
      <c r="R19" s="121"/>
    </row>
    <row r="20" spans="1:19" ht="15" customHeight="1" x14ac:dyDescent="0.25">
      <c r="A20" s="35"/>
      <c r="B20" s="409"/>
      <c r="C20" s="41"/>
      <c r="D20" s="402"/>
      <c r="E20" s="425"/>
      <c r="F20" s="234" t="str">
        <f>IF(D19="","",IF(D19&gt;30000,"　入力金額が年度上限を越えています",""))</f>
        <v/>
      </c>
      <c r="G20" s="232"/>
      <c r="H20" s="232"/>
      <c r="I20" s="232"/>
      <c r="J20" s="233"/>
      <c r="L20" s="155"/>
      <c r="M20" s="113"/>
      <c r="N20" s="135"/>
      <c r="O20" s="149"/>
      <c r="P20" s="113"/>
      <c r="Q20" s="113"/>
      <c r="R20" s="115"/>
    </row>
    <row r="21" spans="1:19" ht="21" customHeight="1" thickBot="1" x14ac:dyDescent="0.3">
      <c r="A21" s="42"/>
      <c r="B21" s="412" t="str">
        <f>IF($A15="","月計",MONTH(A15)&amp;"月計")</f>
        <v>12月計</v>
      </c>
      <c r="C21" s="413"/>
      <c r="D21" s="422">
        <f>SUM(L17:O17)</f>
        <v>0</v>
      </c>
      <c r="E21" s="423"/>
      <c r="F21" s="391"/>
      <c r="G21" s="392"/>
      <c r="H21" s="392"/>
      <c r="I21" s="392"/>
      <c r="J21" s="393"/>
      <c r="L21" s="156"/>
      <c r="M21" s="114"/>
      <c r="N21" s="157"/>
      <c r="O21" s="149"/>
      <c r="P21" s="114"/>
      <c r="Q21" s="114"/>
      <c r="R21" s="116"/>
    </row>
    <row r="22" spans="1:19" ht="21" customHeight="1" x14ac:dyDescent="0.25">
      <c r="A22" s="30"/>
      <c r="B22" s="31" t="s">
        <v>0</v>
      </c>
      <c r="C22" s="32"/>
      <c r="D22" s="398"/>
      <c r="E22" s="399"/>
      <c r="F22" s="31" t="s">
        <v>114</v>
      </c>
      <c r="G22" s="33"/>
      <c r="H22" s="33"/>
      <c r="I22" s="33"/>
      <c r="J22" s="34"/>
      <c r="L22" s="147">
        <f>IF(A26="",0,IF(D22="",0,MIN(D22,L26)))</f>
        <v>0</v>
      </c>
      <c r="M22" s="112"/>
      <c r="N22" s="159"/>
      <c r="O22" s="180"/>
      <c r="P22" s="112"/>
      <c r="Q22" s="112"/>
      <c r="R22" s="117"/>
    </row>
    <row r="23" spans="1:19" ht="21" customHeight="1" x14ac:dyDescent="0.25">
      <c r="A23" s="35"/>
      <c r="B23" s="36" t="s">
        <v>2</v>
      </c>
      <c r="C23" s="37"/>
      <c r="D23" s="464"/>
      <c r="E23" s="465"/>
      <c r="F23" s="36" t="s">
        <v>114</v>
      </c>
      <c r="G23" s="38"/>
      <c r="H23" s="38"/>
      <c r="I23" s="38"/>
      <c r="J23" s="39"/>
      <c r="L23" s="155">
        <f>IF($D22&gt;D26,0,IF($D22+D23&lt;D26,D23,D26-$D22))</f>
        <v>0</v>
      </c>
      <c r="M23" s="113"/>
      <c r="N23" s="160"/>
      <c r="O23" s="149"/>
      <c r="P23" s="113"/>
      <c r="Q23" s="113"/>
      <c r="R23" s="118"/>
    </row>
    <row r="24" spans="1:19" ht="21" customHeight="1" x14ac:dyDescent="0.25">
      <c r="A24" s="35"/>
      <c r="B24" s="36" t="s">
        <v>3</v>
      </c>
      <c r="C24" s="37"/>
      <c r="D24" s="464"/>
      <c r="E24" s="465"/>
      <c r="F24" s="36" t="s">
        <v>114</v>
      </c>
      <c r="G24" s="38"/>
      <c r="H24" s="38"/>
      <c r="I24" s="38"/>
      <c r="J24" s="39"/>
      <c r="L24" s="155">
        <f>IF($D22+$D23&gt;D26,0,IF($D22+$D23+D24&lt;D26,D24,D26-$D22-$D23))</f>
        <v>0</v>
      </c>
      <c r="M24" s="113"/>
      <c r="N24" s="160"/>
      <c r="O24" s="149"/>
      <c r="P24" s="184" t="s">
        <v>72</v>
      </c>
      <c r="Q24" s="113"/>
      <c r="R24" s="118"/>
    </row>
    <row r="25" spans="1:19" ht="21" customHeight="1" x14ac:dyDescent="0.25">
      <c r="A25" s="40"/>
      <c r="B25" s="36" t="s">
        <v>1</v>
      </c>
      <c r="C25" s="37"/>
      <c r="D25" s="464"/>
      <c r="E25" s="465"/>
      <c r="F25" s="36" t="s">
        <v>114</v>
      </c>
      <c r="G25" s="38"/>
      <c r="H25" s="38"/>
      <c r="I25" s="38"/>
      <c r="J25" s="39"/>
      <c r="L25" s="155">
        <f>IF($D22+$D23+$D24&gt;D26,0,IF($D22+$D23+$D24+D25&lt;D26,D25,D26-$D22-$D23-$D24))</f>
        <v>0</v>
      </c>
      <c r="M25" s="113"/>
      <c r="N25" s="161"/>
      <c r="O25" s="149"/>
      <c r="P25" s="181" t="s">
        <v>63</v>
      </c>
      <c r="Q25" s="113"/>
      <c r="R25" s="118"/>
    </row>
    <row r="26" spans="1:19" ht="15" customHeight="1" thickBot="1" x14ac:dyDescent="0.3">
      <c r="A26" s="411">
        <f>IF('16号-1'!$W$16="","",IF('16号-1'!$W$16&gt;=2,(EOMONTH(A15,0)+1),""))</f>
        <v>44927</v>
      </c>
      <c r="B26" s="414" t="s">
        <v>9</v>
      </c>
      <c r="C26" s="415"/>
      <c r="D26" s="418">
        <f>IF($A$26="",0,IF(SUM(D22:E25)&lt;=$L$26,SUM(D22:E25),$L$26))</f>
        <v>0</v>
      </c>
      <c r="E26" s="419"/>
      <c r="F26" s="396" t="str">
        <f>IF('16号-1'!$Q$3=TRUE,"  ←　月計の上限額122,000円","  ←　月計の上限額97,000円")</f>
        <v xml:space="preserve">  ←　月計の上限額97,000円</v>
      </c>
      <c r="G26" s="397"/>
      <c r="H26" s="397"/>
      <c r="I26" s="394"/>
      <c r="J26" s="395"/>
      <c r="L26" s="151">
        <f>IF('16号-1'!$Q$3=TRUE,122000,97000)</f>
        <v>97000</v>
      </c>
      <c r="M26" s="113"/>
      <c r="N26" s="161"/>
      <c r="O26" s="149"/>
      <c r="P26" s="182" t="s">
        <v>64</v>
      </c>
      <c r="Q26" s="113"/>
      <c r="R26" s="115"/>
    </row>
    <row r="27" spans="1:19" ht="30" customHeight="1" thickBot="1" x14ac:dyDescent="0.3">
      <c r="A27" s="411"/>
      <c r="B27" s="416"/>
      <c r="C27" s="417"/>
      <c r="D27" s="420"/>
      <c r="E27" s="421"/>
      <c r="F27" s="384" t="str">
        <f>IF($A$15="",0,IF(SUM(D22:E25)&gt;$L$15,"　(1)～(4)の月計が上限額を超えています",""))</f>
        <v/>
      </c>
      <c r="G27" s="385"/>
      <c r="H27" s="385"/>
      <c r="I27" s="385"/>
      <c r="J27" s="386"/>
      <c r="L27" s="152"/>
      <c r="M27" s="125">
        <f>A26</f>
        <v>44927</v>
      </c>
      <c r="N27" s="108"/>
      <c r="O27" s="149"/>
      <c r="P27" s="183" t="s">
        <v>65</v>
      </c>
      <c r="Q27" s="113"/>
      <c r="R27" s="120"/>
    </row>
    <row r="28" spans="1:19" ht="15" customHeight="1" thickBot="1" x14ac:dyDescent="0.3">
      <c r="A28" s="35"/>
      <c r="B28" s="407" t="s">
        <v>12</v>
      </c>
      <c r="C28" s="408"/>
      <c r="D28" s="400"/>
      <c r="E28" s="401"/>
      <c r="F28" s="387" t="str">
        <f>IF('16号-1'!$Q$3=TRUE,"  ←　年度上限　420,000円","  ←　年度上限　120,000円")</f>
        <v xml:space="preserve">  ←　年度上限　120,000円</v>
      </c>
      <c r="G28" s="388"/>
      <c r="H28" s="388"/>
      <c r="I28" s="389"/>
      <c r="J28" s="390"/>
      <c r="L28" s="236">
        <f>IF($A26="",0,IF(SUM(D22:E25)&lt;=$L26,SUM(D22:E25),$L26))</f>
        <v>0</v>
      </c>
      <c r="M28" s="237"/>
      <c r="N28" s="238">
        <f>IF($A26="",0,IF($D30="",0,MIN(30000,$D30)))</f>
        <v>0</v>
      </c>
      <c r="O28" s="239">
        <f>IF($A26="",0,IF($D28="",0,MIN($P28,$D28)))</f>
        <v>0</v>
      </c>
      <c r="P28" s="151">
        <f>IF('16号-1'!$Q$3=TRUE,420000,120000)</f>
        <v>120000</v>
      </c>
      <c r="Q28" s="228">
        <f>A26</f>
        <v>44927</v>
      </c>
      <c r="R28" s="109">
        <f>IFERROR(DATEDIF('16号-1'!$Z$10,M27,"M")+1,"")</f>
        <v>20</v>
      </c>
      <c r="S28" s="89" t="str">
        <f>IF(R28="","",IF(R28&lt;13,"1年目","2年目"))</f>
        <v>2年目</v>
      </c>
    </row>
    <row r="29" spans="1:19" ht="15" customHeight="1" thickBot="1" x14ac:dyDescent="0.3">
      <c r="A29" s="35"/>
      <c r="B29" s="409"/>
      <c r="C29" s="410"/>
      <c r="D29" s="402"/>
      <c r="E29" s="403"/>
      <c r="F29" s="404" t="str">
        <f>IF(D28="","",IF(D28&gt;P28,"　入力金額が年度上限を越えています",""))</f>
        <v/>
      </c>
      <c r="G29" s="405"/>
      <c r="H29" s="405"/>
      <c r="I29" s="405"/>
      <c r="J29" s="406"/>
      <c r="L29" s="153"/>
      <c r="M29" s="154"/>
      <c r="N29" s="160"/>
      <c r="O29" s="229"/>
      <c r="P29" s="230"/>
      <c r="Q29" s="228"/>
      <c r="R29" s="231"/>
    </row>
    <row r="30" spans="1:19" ht="15" customHeight="1" x14ac:dyDescent="0.25">
      <c r="A30" s="35"/>
      <c r="B30" s="407" t="s">
        <v>8</v>
      </c>
      <c r="C30" s="235"/>
      <c r="D30" s="400"/>
      <c r="E30" s="424"/>
      <c r="F30" s="225" t="s">
        <v>32</v>
      </c>
      <c r="G30" s="226"/>
      <c r="H30" s="226"/>
      <c r="I30" s="226"/>
      <c r="J30" s="227"/>
      <c r="L30" s="155"/>
      <c r="M30" s="113"/>
      <c r="N30" s="135"/>
      <c r="O30" s="162" t="s">
        <v>54</v>
      </c>
      <c r="P30" s="113"/>
      <c r="Q30" s="113"/>
      <c r="R30" s="121"/>
    </row>
    <row r="31" spans="1:19" ht="15" customHeight="1" x14ac:dyDescent="0.25">
      <c r="A31" s="35"/>
      <c r="B31" s="409"/>
      <c r="C31" s="41"/>
      <c r="D31" s="402"/>
      <c r="E31" s="425"/>
      <c r="F31" s="234" t="str">
        <f>IF(D30="","",IF(D30&gt;30000,"　入力金額が年度上限を越えています",""))</f>
        <v/>
      </c>
      <c r="G31" s="232"/>
      <c r="H31" s="232"/>
      <c r="I31" s="232"/>
      <c r="J31" s="233"/>
      <c r="L31" s="155"/>
      <c r="M31" s="113"/>
      <c r="N31" s="135"/>
      <c r="O31" s="162"/>
      <c r="P31" s="113"/>
      <c r="Q31" s="113"/>
      <c r="R31" s="115"/>
    </row>
    <row r="32" spans="1:19" ht="21" customHeight="1" thickBot="1" x14ac:dyDescent="0.3">
      <c r="A32" s="42"/>
      <c r="B32" s="412" t="str">
        <f>IF($A26="","月計",MONTH(A26)&amp;"月計")</f>
        <v>1月計</v>
      </c>
      <c r="C32" s="413"/>
      <c r="D32" s="431">
        <f>SUM(L28:O28)</f>
        <v>0</v>
      </c>
      <c r="E32" s="423"/>
      <c r="F32" s="391"/>
      <c r="G32" s="392"/>
      <c r="H32" s="392"/>
      <c r="I32" s="392"/>
      <c r="J32" s="393"/>
      <c r="L32" s="156"/>
      <c r="M32" s="114"/>
      <c r="N32" s="163"/>
      <c r="O32" s="149"/>
      <c r="P32" s="114"/>
      <c r="Q32" s="114"/>
      <c r="R32" s="116"/>
    </row>
    <row r="33" spans="1:19" ht="21" customHeight="1" x14ac:dyDescent="0.25">
      <c r="A33" s="30"/>
      <c r="B33" s="31" t="s">
        <v>0</v>
      </c>
      <c r="C33" s="32"/>
      <c r="D33" s="398"/>
      <c r="E33" s="399"/>
      <c r="F33" s="31" t="s">
        <v>114</v>
      </c>
      <c r="G33" s="33"/>
      <c r="H33" s="33"/>
      <c r="I33" s="33"/>
      <c r="J33" s="34"/>
      <c r="L33" s="147">
        <f>IF(A37="",0,IF(D33="",0,MIN(D33,L37)))</f>
        <v>0</v>
      </c>
      <c r="M33" s="112"/>
      <c r="N33" s="164"/>
      <c r="O33" s="180"/>
      <c r="P33" s="112"/>
      <c r="Q33" s="112"/>
      <c r="R33" s="117"/>
    </row>
    <row r="34" spans="1:19" ht="21" customHeight="1" x14ac:dyDescent="0.25">
      <c r="A34" s="35"/>
      <c r="B34" s="36" t="s">
        <v>2</v>
      </c>
      <c r="C34" s="37"/>
      <c r="D34" s="464"/>
      <c r="E34" s="465"/>
      <c r="F34" s="36" t="s">
        <v>114</v>
      </c>
      <c r="G34" s="38"/>
      <c r="H34" s="38"/>
      <c r="I34" s="38"/>
      <c r="J34" s="39"/>
      <c r="L34" s="155">
        <f>IF($D33&gt;D37,0,IF($D33+D34&lt;D37,D34,D37-$D33))</f>
        <v>0</v>
      </c>
      <c r="M34" s="113"/>
      <c r="N34" s="136"/>
      <c r="O34" s="149"/>
      <c r="P34" s="113"/>
      <c r="Q34" s="113"/>
      <c r="R34" s="118"/>
    </row>
    <row r="35" spans="1:19" ht="21" customHeight="1" x14ac:dyDescent="0.25">
      <c r="A35" s="35"/>
      <c r="B35" s="36" t="s">
        <v>3</v>
      </c>
      <c r="C35" s="37"/>
      <c r="D35" s="464"/>
      <c r="E35" s="465"/>
      <c r="F35" s="36" t="s">
        <v>114</v>
      </c>
      <c r="G35" s="38"/>
      <c r="H35" s="38"/>
      <c r="I35" s="38"/>
      <c r="J35" s="39"/>
      <c r="L35" s="155">
        <f>IF($D33+$D34&gt;D37,0,IF($D33+$D34+D35&lt;D37,D35,D37-$D33-$D34))</f>
        <v>0</v>
      </c>
      <c r="M35" s="113"/>
      <c r="N35" s="136"/>
      <c r="O35" s="149"/>
      <c r="P35" s="184" t="s">
        <v>72</v>
      </c>
      <c r="Q35" s="113"/>
      <c r="R35" s="118"/>
    </row>
    <row r="36" spans="1:19" ht="21" customHeight="1" x14ac:dyDescent="0.25">
      <c r="A36" s="40"/>
      <c r="B36" s="36" t="s">
        <v>1</v>
      </c>
      <c r="C36" s="37"/>
      <c r="D36" s="464"/>
      <c r="E36" s="465"/>
      <c r="F36" s="36" t="s">
        <v>114</v>
      </c>
      <c r="G36" s="38"/>
      <c r="H36" s="38"/>
      <c r="I36" s="38"/>
      <c r="J36" s="39"/>
      <c r="L36" s="155">
        <f>IF($D33+$D34+$D35&gt;D37,0,IF($D33+$D34+$D35+D36&lt;D37,D36,D37-$D33-$D34-$D35))</f>
        <v>0</v>
      </c>
      <c r="M36" s="113"/>
      <c r="N36" s="136"/>
      <c r="O36" s="149"/>
      <c r="P36" s="181" t="s">
        <v>66</v>
      </c>
      <c r="Q36" s="113"/>
      <c r="R36" s="118"/>
    </row>
    <row r="37" spans="1:19" ht="15" customHeight="1" thickBot="1" x14ac:dyDescent="0.3">
      <c r="A37" s="411">
        <f>IF('16号-1'!$W$16="","",IF('16号-1'!$W$16&gt;=3,(EOMONTH(A26,0)+1),""))</f>
        <v>44958</v>
      </c>
      <c r="B37" s="414" t="s">
        <v>9</v>
      </c>
      <c r="C37" s="415"/>
      <c r="D37" s="418">
        <f>IF($A$37="",0,IF(SUM(D33:E36)&lt;=$L$37,SUM(D33:E36),$L$37))</f>
        <v>0</v>
      </c>
      <c r="E37" s="419"/>
      <c r="F37" s="396" t="str">
        <f>IF('16号-1'!$Q$3=TRUE,"  ←　月計の上限額122,000円","  ←　月計の上限額97,000円")</f>
        <v xml:space="preserve">  ←　月計の上限額97,000円</v>
      </c>
      <c r="G37" s="397"/>
      <c r="H37" s="397"/>
      <c r="I37" s="394"/>
      <c r="J37" s="395"/>
      <c r="L37" s="151">
        <f>IF('16号-1'!$Q$3=TRUE,122000,97000)</f>
        <v>97000</v>
      </c>
      <c r="P37" s="182" t="s">
        <v>67</v>
      </c>
      <c r="R37" s="115"/>
    </row>
    <row r="38" spans="1:19" ht="30" customHeight="1" thickBot="1" x14ac:dyDescent="0.3">
      <c r="A38" s="411"/>
      <c r="B38" s="416"/>
      <c r="C38" s="417"/>
      <c r="D38" s="420"/>
      <c r="E38" s="421"/>
      <c r="F38" s="384" t="str">
        <f>IF($A$15="",0,IF(SUM(D33:E36)&gt;$L$15,"　(1)～(4)の月計が上限額を超えています",""))</f>
        <v/>
      </c>
      <c r="G38" s="385"/>
      <c r="H38" s="385"/>
      <c r="I38" s="385"/>
      <c r="J38" s="386"/>
      <c r="L38" s="152"/>
      <c r="M38" s="125">
        <f>A37</f>
        <v>44958</v>
      </c>
      <c r="N38" s="136"/>
      <c r="O38" s="149"/>
      <c r="P38" s="183" t="s">
        <v>68</v>
      </c>
      <c r="Q38" s="119"/>
      <c r="R38" s="120"/>
    </row>
    <row r="39" spans="1:19" ht="15" customHeight="1" thickBot="1" x14ac:dyDescent="0.3">
      <c r="A39" s="35"/>
      <c r="B39" s="407" t="s">
        <v>12</v>
      </c>
      <c r="C39" s="408"/>
      <c r="D39" s="400"/>
      <c r="E39" s="401"/>
      <c r="F39" s="387" t="str">
        <f>IF('16号-1'!$Q$3=TRUE,"  ←　年度上限　420,000円","  ←　年度上限　120,000円")</f>
        <v xml:space="preserve">  ←　年度上限　120,000円</v>
      </c>
      <c r="G39" s="388"/>
      <c r="H39" s="388"/>
      <c r="I39" s="389"/>
      <c r="J39" s="390"/>
      <c r="L39" s="236">
        <f>IF($A37="",0,IF(SUM(D33:E36)&lt;=$L37,SUM(D33:E36),$L37))</f>
        <v>0</v>
      </c>
      <c r="M39" s="237"/>
      <c r="N39" s="238">
        <f>IF($A37="",0,IF($D41="",0,MIN(30000,$D41)))</f>
        <v>0</v>
      </c>
      <c r="O39" s="239">
        <f>IF($A37="",0,IF($D39="",0,MIN($P39,$D39)))</f>
        <v>0</v>
      </c>
      <c r="P39" s="151">
        <f>IF('16号-1'!$Q$3=TRUE,420000,120000)</f>
        <v>120000</v>
      </c>
      <c r="Q39" s="228">
        <f>A37</f>
        <v>44958</v>
      </c>
      <c r="R39" s="109">
        <f>IFERROR(DATEDIF('16号-1'!$Z$10,M38,"M")+1,"")</f>
        <v>21</v>
      </c>
      <c r="S39" s="89" t="str">
        <f>IF(R39="","",IF(R39&lt;13,"1年目","2年目"))</f>
        <v>2年目</v>
      </c>
    </row>
    <row r="40" spans="1:19" ht="15" customHeight="1" thickBot="1" x14ac:dyDescent="0.3">
      <c r="A40" s="35"/>
      <c r="B40" s="409"/>
      <c r="C40" s="410"/>
      <c r="D40" s="402"/>
      <c r="E40" s="403"/>
      <c r="F40" s="404" t="str">
        <f>IF(D39="","",IF(D39&gt;P39,"　入力金額が年度上限を越えています",""))</f>
        <v/>
      </c>
      <c r="G40" s="405"/>
      <c r="H40" s="405"/>
      <c r="I40" s="405"/>
      <c r="J40" s="406"/>
      <c r="L40" s="165"/>
      <c r="M40" s="166"/>
      <c r="N40" s="136"/>
      <c r="O40" s="229"/>
      <c r="P40" s="230"/>
      <c r="Q40" s="228"/>
      <c r="R40" s="231"/>
    </row>
    <row r="41" spans="1:19" ht="15" customHeight="1" x14ac:dyDescent="0.25">
      <c r="A41" s="35"/>
      <c r="B41" s="407" t="s">
        <v>8</v>
      </c>
      <c r="C41" s="235"/>
      <c r="D41" s="400"/>
      <c r="E41" s="424"/>
      <c r="F41" s="225" t="s">
        <v>32</v>
      </c>
      <c r="G41" s="226"/>
      <c r="H41" s="226"/>
      <c r="I41" s="226"/>
      <c r="J41" s="227"/>
      <c r="L41" s="155"/>
      <c r="M41" s="113"/>
      <c r="N41" s="135"/>
      <c r="O41" s="162" t="s">
        <v>54</v>
      </c>
      <c r="P41" s="113"/>
      <c r="Q41" s="113"/>
      <c r="R41" s="121"/>
    </row>
    <row r="42" spans="1:19" ht="15" customHeight="1" x14ac:dyDescent="0.25">
      <c r="A42" s="35"/>
      <c r="B42" s="409"/>
      <c r="C42" s="41"/>
      <c r="D42" s="402"/>
      <c r="E42" s="425"/>
      <c r="F42" s="234" t="str">
        <f>IF(D41="","",IF(D41&gt;30000,"　入力金額が年度上限を越えています",""))</f>
        <v/>
      </c>
      <c r="G42" s="232"/>
      <c r="H42" s="232"/>
      <c r="I42" s="232"/>
      <c r="J42" s="233"/>
      <c r="L42" s="155"/>
      <c r="M42" s="113"/>
      <c r="N42" s="135"/>
      <c r="O42" s="162"/>
      <c r="P42" s="113"/>
      <c r="Q42" s="113"/>
      <c r="R42" s="115"/>
    </row>
    <row r="43" spans="1:19" ht="21" customHeight="1" thickBot="1" x14ac:dyDescent="0.3">
      <c r="A43" s="42"/>
      <c r="B43" s="412" t="str">
        <f>IF($A37="","月計",MONTH(A37)&amp;"月計")</f>
        <v>2月計</v>
      </c>
      <c r="C43" s="413"/>
      <c r="D43" s="431">
        <f>SUM(L39:O39)</f>
        <v>0</v>
      </c>
      <c r="E43" s="423"/>
      <c r="F43" s="391"/>
      <c r="G43" s="392"/>
      <c r="H43" s="392"/>
      <c r="I43" s="392"/>
      <c r="J43" s="393"/>
      <c r="L43" s="156"/>
      <c r="M43" s="114"/>
      <c r="N43" s="167"/>
      <c r="O43" s="149"/>
      <c r="P43" s="114"/>
      <c r="Q43" s="114"/>
      <c r="R43" s="116"/>
    </row>
    <row r="44" spans="1:19" ht="21" customHeight="1" x14ac:dyDescent="0.25">
      <c r="A44" s="30"/>
      <c r="B44" s="31" t="s">
        <v>0</v>
      </c>
      <c r="C44" s="32"/>
      <c r="D44" s="398"/>
      <c r="E44" s="399"/>
      <c r="F44" s="31" t="s">
        <v>114</v>
      </c>
      <c r="G44" s="33"/>
      <c r="H44" s="33"/>
      <c r="I44" s="33"/>
      <c r="J44" s="34"/>
      <c r="L44" s="147">
        <f>IF(A48="",0,IF(D44="",0,MIN(D44,L48)))</f>
        <v>0</v>
      </c>
      <c r="M44" s="112"/>
      <c r="N44" s="168"/>
      <c r="O44" s="180"/>
      <c r="P44" s="112"/>
      <c r="Q44" s="112"/>
      <c r="R44" s="117"/>
    </row>
    <row r="45" spans="1:19" ht="21" customHeight="1" x14ac:dyDescent="0.25">
      <c r="A45" s="35"/>
      <c r="B45" s="36" t="s">
        <v>2</v>
      </c>
      <c r="C45" s="37"/>
      <c r="D45" s="464"/>
      <c r="E45" s="465"/>
      <c r="F45" s="36" t="s">
        <v>114</v>
      </c>
      <c r="G45" s="38"/>
      <c r="H45" s="38"/>
      <c r="I45" s="38"/>
      <c r="J45" s="39"/>
      <c r="L45" s="155">
        <f>IF($D44&gt;D48,0,IF($D44+D45&lt;D48,D45,D48-$D44))</f>
        <v>0</v>
      </c>
      <c r="M45" s="113"/>
      <c r="N45" s="136"/>
      <c r="O45" s="149"/>
      <c r="P45" s="113"/>
      <c r="Q45" s="113"/>
      <c r="R45" s="118"/>
    </row>
    <row r="46" spans="1:19" ht="21" customHeight="1" x14ac:dyDescent="0.25">
      <c r="A46" s="35"/>
      <c r="B46" s="36" t="s">
        <v>3</v>
      </c>
      <c r="C46" s="37"/>
      <c r="D46" s="464"/>
      <c r="E46" s="465"/>
      <c r="F46" s="36" t="s">
        <v>114</v>
      </c>
      <c r="G46" s="38"/>
      <c r="H46" s="38"/>
      <c r="I46" s="38"/>
      <c r="J46" s="39"/>
      <c r="L46" s="155">
        <f>IF($D44+$D45&gt;D48,0,IF($D44+$D45+D46&lt;D48,D46,D48-$D44-$D45))</f>
        <v>0</v>
      </c>
      <c r="M46" s="113"/>
      <c r="N46" s="136"/>
      <c r="O46" s="149"/>
      <c r="P46" s="184" t="s">
        <v>72</v>
      </c>
      <c r="Q46" s="113"/>
      <c r="R46" s="118"/>
    </row>
    <row r="47" spans="1:19" ht="21" customHeight="1" x14ac:dyDescent="0.25">
      <c r="A47" s="190"/>
      <c r="B47" s="36" t="s">
        <v>1</v>
      </c>
      <c r="C47" s="37"/>
      <c r="D47" s="464"/>
      <c r="E47" s="465"/>
      <c r="F47" s="36" t="s">
        <v>114</v>
      </c>
      <c r="G47" s="38"/>
      <c r="H47" s="38"/>
      <c r="I47" s="38"/>
      <c r="J47" s="39"/>
      <c r="L47" s="155">
        <f>IF($D44+$D45+$D46&gt;D48,0,IF($D44+$D45+$D46+D47&lt;D48,D47,D48-$D44-$D45-$D46))</f>
        <v>0</v>
      </c>
      <c r="M47" s="113"/>
      <c r="N47" s="136"/>
      <c r="O47" s="149"/>
      <c r="P47" s="181" t="s">
        <v>69</v>
      </c>
      <c r="Q47" s="113"/>
      <c r="R47" s="118"/>
    </row>
    <row r="48" spans="1:19" ht="15" customHeight="1" thickBot="1" x14ac:dyDescent="0.3">
      <c r="A48" s="411">
        <f>IF('16号-1'!$W$16="","",IF('16号-1'!$W$16&gt;=4,(EOMONTH(A37,0)+1),""))</f>
        <v>44986</v>
      </c>
      <c r="B48" s="414" t="s">
        <v>9</v>
      </c>
      <c r="C48" s="415"/>
      <c r="D48" s="468">
        <f>IF($A$48="",0,IF(SUM(D44:E47)&lt;=$L$48,SUM(D44:E47),$L$48))</f>
        <v>0</v>
      </c>
      <c r="E48" s="469"/>
      <c r="F48" s="396" t="str">
        <f>IF('16号-1'!$Q$3=TRUE,"  ←　月計の上限額122,000円","  ←　月計の上限額97,000円")</f>
        <v xml:space="preserve">  ←　月計の上限額97,000円</v>
      </c>
      <c r="G48" s="397"/>
      <c r="H48" s="397"/>
      <c r="I48" s="394"/>
      <c r="J48" s="463"/>
      <c r="L48" s="151">
        <f>IF('16号-1'!$Q$3=TRUE,122000,97000)</f>
        <v>97000</v>
      </c>
      <c r="M48" s="113"/>
      <c r="N48" s="136"/>
      <c r="O48" s="149"/>
      <c r="P48" s="182" t="s">
        <v>70</v>
      </c>
      <c r="Q48" s="113"/>
      <c r="R48" s="115"/>
    </row>
    <row r="49" spans="1:19" ht="30" customHeight="1" thickBot="1" x14ac:dyDescent="0.3">
      <c r="A49" s="411"/>
      <c r="B49" s="416"/>
      <c r="C49" s="417"/>
      <c r="D49" s="470"/>
      <c r="E49" s="471"/>
      <c r="F49" s="384" t="str">
        <f>IF($A$15="",0,IF(SUM(D44:E47)&gt;$L$15,"　(1)～(4)の月計が上限額を超えています",""))</f>
        <v/>
      </c>
      <c r="G49" s="385"/>
      <c r="H49" s="385"/>
      <c r="I49" s="385"/>
      <c r="J49" s="386"/>
      <c r="L49" s="152"/>
      <c r="M49" s="125">
        <f>A48</f>
        <v>44986</v>
      </c>
      <c r="N49" s="136"/>
      <c r="O49" s="149"/>
      <c r="P49" s="183" t="s">
        <v>71</v>
      </c>
      <c r="Q49" s="113"/>
      <c r="R49" s="120"/>
    </row>
    <row r="50" spans="1:19" ht="15" customHeight="1" thickBot="1" x14ac:dyDescent="0.3">
      <c r="A50" s="35"/>
      <c r="B50" s="407" t="s">
        <v>12</v>
      </c>
      <c r="C50" s="408"/>
      <c r="D50" s="400"/>
      <c r="E50" s="401"/>
      <c r="F50" s="387" t="str">
        <f>IF('16号-1'!$Q$3=TRUE,"  ←　年度上限　420,000円","  ←　年度上限　120,000円")</f>
        <v xml:space="preserve">  ←　年度上限　120,000円</v>
      </c>
      <c r="G50" s="388"/>
      <c r="H50" s="388"/>
      <c r="I50" s="389"/>
      <c r="J50" s="390"/>
      <c r="L50" s="236">
        <f>IF($A48="",0,IF(SUM(D44:E47)&lt;=$L48,SUM(D44:E47),$L48))</f>
        <v>0</v>
      </c>
      <c r="M50" s="237"/>
      <c r="N50" s="238">
        <f>IF($A48="",0,IF($D52="",0,MIN(30000,$D52)))</f>
        <v>0</v>
      </c>
      <c r="O50" s="239">
        <f>IF($A48="",0,IF($D50="",0,MIN($P50,$D50)))</f>
        <v>0</v>
      </c>
      <c r="P50" s="151">
        <f>IF('16号-1'!$Q$3=TRUE,420000,120000)</f>
        <v>120000</v>
      </c>
      <c r="Q50" s="228">
        <f>A48</f>
        <v>44986</v>
      </c>
      <c r="R50" s="109">
        <f>IFERROR(DATEDIF('16号-1'!$Z$10,M49,"M")+1,"")</f>
        <v>22</v>
      </c>
      <c r="S50" s="89" t="str">
        <f>IF(R50="","",IF(R50&lt;13,"1年目","2年目"))</f>
        <v>2年目</v>
      </c>
    </row>
    <row r="51" spans="1:19" ht="15" customHeight="1" thickBot="1" x14ac:dyDescent="0.3">
      <c r="A51" s="35"/>
      <c r="B51" s="409"/>
      <c r="C51" s="410"/>
      <c r="D51" s="402"/>
      <c r="E51" s="403"/>
      <c r="F51" s="404" t="str">
        <f>IF(D50="","",IF(D50&gt;P50,"　入力金額が年度上限を越えています",""))</f>
        <v/>
      </c>
      <c r="G51" s="405"/>
      <c r="H51" s="405"/>
      <c r="I51" s="405"/>
      <c r="J51" s="406"/>
      <c r="L51" s="169"/>
      <c r="M51" s="166"/>
      <c r="N51" s="136"/>
      <c r="O51" s="229"/>
      <c r="P51" s="230"/>
      <c r="Q51" s="228"/>
      <c r="R51" s="231"/>
    </row>
    <row r="52" spans="1:19" ht="15" customHeight="1" x14ac:dyDescent="0.25">
      <c r="A52" s="35"/>
      <c r="B52" s="407" t="s">
        <v>8</v>
      </c>
      <c r="C52" s="235"/>
      <c r="D52" s="400"/>
      <c r="E52" s="424"/>
      <c r="F52" s="225" t="s">
        <v>32</v>
      </c>
      <c r="G52" s="226"/>
      <c r="H52" s="226"/>
      <c r="I52" s="226"/>
      <c r="J52" s="227"/>
      <c r="L52" s="170"/>
      <c r="M52" s="113"/>
      <c r="N52" s="135"/>
      <c r="O52" s="162" t="s">
        <v>54</v>
      </c>
      <c r="P52" s="113"/>
      <c r="Q52" s="113"/>
      <c r="R52" s="121"/>
    </row>
    <row r="53" spans="1:19" ht="15" customHeight="1" x14ac:dyDescent="0.25">
      <c r="A53" s="35"/>
      <c r="B53" s="409"/>
      <c r="C53" s="41"/>
      <c r="D53" s="402"/>
      <c r="E53" s="425"/>
      <c r="F53" s="234" t="str">
        <f>IF(D52="","",IF(D52&gt;30000,"　入力金額が年度上限を越えています",""))</f>
        <v/>
      </c>
      <c r="G53" s="232"/>
      <c r="H53" s="232"/>
      <c r="I53" s="232"/>
      <c r="J53" s="233"/>
      <c r="L53" s="170"/>
      <c r="M53" s="113"/>
      <c r="N53" s="135"/>
      <c r="O53" s="162"/>
      <c r="P53" s="113"/>
      <c r="Q53" s="113"/>
      <c r="R53" s="115"/>
    </row>
    <row r="54" spans="1:19" ht="21" customHeight="1" thickBot="1" x14ac:dyDescent="0.3">
      <c r="A54" s="42"/>
      <c r="B54" s="412" t="str">
        <f>IF($A48="","月計",MONTH(A48)&amp;"月計")</f>
        <v>3月計</v>
      </c>
      <c r="C54" s="413"/>
      <c r="D54" s="466">
        <f>SUM(L50:O50)</f>
        <v>0</v>
      </c>
      <c r="E54" s="467"/>
      <c r="F54" s="391"/>
      <c r="G54" s="392"/>
      <c r="H54" s="392"/>
      <c r="I54" s="392"/>
      <c r="J54" s="393"/>
      <c r="L54" s="171"/>
      <c r="M54" s="114"/>
      <c r="N54" s="167"/>
      <c r="O54" s="158"/>
      <c r="P54" s="114"/>
      <c r="Q54" s="114"/>
      <c r="R54" s="116"/>
    </row>
    <row r="55" spans="1:19" ht="21" customHeight="1" x14ac:dyDescent="0.25">
      <c r="A55" s="456" t="s">
        <v>49</v>
      </c>
      <c r="B55" s="31" t="s">
        <v>0</v>
      </c>
      <c r="C55" s="32"/>
      <c r="D55" s="442">
        <f>SUM(L44,L33,L22,L11)</f>
        <v>0</v>
      </c>
      <c r="E55" s="443"/>
      <c r="F55" s="450"/>
      <c r="G55" s="451"/>
      <c r="H55" s="451"/>
      <c r="I55" s="451"/>
      <c r="J55" s="452"/>
      <c r="L55" s="149" t="s">
        <v>102</v>
      </c>
      <c r="M55" s="136" t="s">
        <v>95</v>
      </c>
      <c r="N55" s="137" t="s">
        <v>96</v>
      </c>
      <c r="O55" s="245">
        <f>SUMIF(S17:S50,"1年目",O17:O50)</f>
        <v>0</v>
      </c>
      <c r="P55" s="255">
        <f>IF($M$6-Q57&gt;$P$17,$P$17,$M$6-Q57)</f>
        <v>120000</v>
      </c>
      <c r="Q55" s="244">
        <f>IF(SUM('16号-2①'!Q55,'16号-2②'!Q55)&gt;=P55,0,MIN(P55-SUM('16号-2①'!Q55,'16号-2②'!Q55),O55))</f>
        <v>0</v>
      </c>
    </row>
    <row r="56" spans="1:19" ht="21" customHeight="1" x14ac:dyDescent="0.25">
      <c r="A56" s="457"/>
      <c r="B56" s="36" t="s">
        <v>2</v>
      </c>
      <c r="C56" s="37"/>
      <c r="D56" s="440">
        <f>L12+L23+L34+L45</f>
        <v>0</v>
      </c>
      <c r="E56" s="441"/>
      <c r="F56" s="453"/>
      <c r="G56" s="454"/>
      <c r="H56" s="454"/>
      <c r="I56" s="454"/>
      <c r="J56" s="455"/>
      <c r="L56" s="144"/>
      <c r="N56" s="136" t="s">
        <v>97</v>
      </c>
      <c r="O56" s="245">
        <f>SUMIF(S17:S50,"2年目",O17:O50)</f>
        <v>0</v>
      </c>
      <c r="P56" s="255">
        <f>IF($M$6-Q58&gt;$P$17,$P$17,$M$6-Q58)</f>
        <v>120000</v>
      </c>
      <c r="Q56" s="244">
        <f>IF(SUM('16号-2①'!Q56,'16号-2②'!Q56)&gt;=P56,0,MIN(P56-SUM('16号-2①'!Q56,'16号-2②'!Q56),O56))</f>
        <v>0</v>
      </c>
    </row>
    <row r="57" spans="1:19" ht="21" customHeight="1" x14ac:dyDescent="0.25">
      <c r="A57" s="457"/>
      <c r="B57" s="36" t="s">
        <v>3</v>
      </c>
      <c r="C57" s="37"/>
      <c r="D57" s="440">
        <f>L13+L24+L35+L46</f>
        <v>0</v>
      </c>
      <c r="E57" s="441"/>
      <c r="F57" s="453"/>
      <c r="G57" s="454"/>
      <c r="H57" s="454"/>
      <c r="I57" s="454"/>
      <c r="J57" s="455"/>
      <c r="L57" s="144" t="s">
        <v>103</v>
      </c>
      <c r="M57" s="113" t="s">
        <v>104</v>
      </c>
      <c r="N57" s="137" t="s">
        <v>96</v>
      </c>
      <c r="O57" s="245">
        <f>SUMIF(S17:S50,"1年目",L17:L50)</f>
        <v>0</v>
      </c>
      <c r="P57" s="254"/>
      <c r="Q57" s="255">
        <f>IF(O57="",0,SUM('16号-2①'!O57,'16号-2②'!O57,'16号-2③'!O57,'16号-2④'!O57))</f>
        <v>0</v>
      </c>
    </row>
    <row r="58" spans="1:19" ht="21" customHeight="1" x14ac:dyDescent="0.25">
      <c r="A58" s="457"/>
      <c r="B58" s="36" t="s">
        <v>1</v>
      </c>
      <c r="C58" s="37"/>
      <c r="D58" s="440">
        <f>L14+L25+L36+L47</f>
        <v>0</v>
      </c>
      <c r="E58" s="441"/>
      <c r="F58" s="453"/>
      <c r="G58" s="454"/>
      <c r="H58" s="454"/>
      <c r="I58" s="454"/>
      <c r="J58" s="455"/>
      <c r="N58" s="136" t="s">
        <v>97</v>
      </c>
      <c r="O58" s="245">
        <f>SUMIF(S17:S51,"2年目",L17:L51)</f>
        <v>0</v>
      </c>
      <c r="P58" s="254"/>
      <c r="Q58" s="255">
        <f>IF(O58="",0,SUM('16号-2①'!O58,'16号-2②'!O58,'16号-2③'!O58,'16号-2④'!O58))</f>
        <v>0</v>
      </c>
    </row>
    <row r="59" spans="1:19" ht="21" customHeight="1" x14ac:dyDescent="0.25">
      <c r="A59" s="457"/>
      <c r="B59" s="461" t="s">
        <v>9</v>
      </c>
      <c r="C59" s="462"/>
      <c r="D59" s="436">
        <f>D15+D26+D37+D48</f>
        <v>0</v>
      </c>
      <c r="E59" s="437"/>
      <c r="F59" s="438" t="s">
        <v>77</v>
      </c>
      <c r="G59" s="439"/>
      <c r="H59" s="459" t="str">
        <f>IF('16号-1'!$Q$3=TRUE,"122,000円（※1）×月数","97,000円（※1）×月数")</f>
        <v>97,000円（※1）×月数</v>
      </c>
      <c r="I59" s="459"/>
      <c r="J59" s="460"/>
      <c r="L59" s="444"/>
      <c r="M59" s="446"/>
      <c r="N59" s="136"/>
      <c r="O59" s="144" t="s">
        <v>98</v>
      </c>
      <c r="P59" s="144" t="s">
        <v>99</v>
      </c>
      <c r="Q59" s="144" t="s">
        <v>101</v>
      </c>
    </row>
    <row r="60" spans="1:19" ht="21" customHeight="1" x14ac:dyDescent="0.25">
      <c r="A60" s="457"/>
      <c r="B60" s="36" t="s">
        <v>12</v>
      </c>
      <c r="C60" s="41"/>
      <c r="D60" s="440">
        <f>IF($A15="",0,SUM(Q55:Q56))</f>
        <v>0</v>
      </c>
      <c r="E60" s="441"/>
      <c r="F60" s="438" t="s">
        <v>78</v>
      </c>
      <c r="G60" s="439"/>
      <c r="H60" s="459" t="str">
        <f>IF('16号-1'!$Q$3=TRUE,"420,000円（※2）","120,000円（※2）")</f>
        <v>120,000円（※2）</v>
      </c>
      <c r="I60" s="459"/>
      <c r="J60" s="195"/>
      <c r="L60" s="445"/>
      <c r="M60" s="446"/>
      <c r="N60" s="136"/>
      <c r="O60" s="149"/>
      <c r="P60" s="113"/>
      <c r="Q60" s="258"/>
    </row>
    <row r="61" spans="1:19" ht="21" customHeight="1" x14ac:dyDescent="0.25">
      <c r="A61" s="457"/>
      <c r="B61" s="36" t="s">
        <v>8</v>
      </c>
      <c r="C61" s="41"/>
      <c r="D61" s="440">
        <f>IF($A15="",0,Q66)</f>
        <v>0</v>
      </c>
      <c r="E61" s="441"/>
      <c r="F61" s="124" t="s">
        <v>62</v>
      </c>
      <c r="G61" s="122"/>
      <c r="H61" s="122"/>
      <c r="I61" s="122"/>
      <c r="J61" s="98"/>
      <c r="L61" s="113"/>
      <c r="M61" s="113" t="s">
        <v>106</v>
      </c>
      <c r="N61" s="137" t="s">
        <v>96</v>
      </c>
      <c r="O61" s="259"/>
      <c r="P61" s="254"/>
      <c r="Q61" s="255">
        <f>SUM('16号-2③'!Q57,'16号-2①'!Q55,'16号-2②'!Q55,'16号-2③'!Q55,'16号-2④'!Q55)</f>
        <v>0</v>
      </c>
    </row>
    <row r="62" spans="1:19" ht="21.75" customHeight="1" thickBot="1" x14ac:dyDescent="0.3">
      <c r="A62" s="458"/>
      <c r="B62" s="412" t="s">
        <v>13</v>
      </c>
      <c r="C62" s="413"/>
      <c r="D62" s="431">
        <f>SUM(D59:E61)</f>
        <v>0</v>
      </c>
      <c r="E62" s="423"/>
      <c r="F62" s="99"/>
      <c r="G62" s="100"/>
      <c r="H62" s="100"/>
      <c r="I62" s="100"/>
      <c r="J62" s="101"/>
      <c r="N62" s="136" t="s">
        <v>97</v>
      </c>
      <c r="O62" s="259"/>
      <c r="P62" s="254"/>
      <c r="Q62" s="255">
        <f>SUM('16号-2③'!Q58,'16号-2①'!Q56,'16号-2②'!Q56,'16号-2③'!Q56,'16号-2④'!Q56)</f>
        <v>0</v>
      </c>
    </row>
    <row r="63" spans="1:19" ht="6.75" customHeight="1" x14ac:dyDescent="0.25">
      <c r="A63" s="199"/>
      <c r="B63" s="200"/>
      <c r="C63" s="200"/>
      <c r="D63" s="201"/>
      <c r="E63" s="201"/>
      <c r="F63" s="202"/>
      <c r="G63" s="202"/>
      <c r="H63" s="202"/>
      <c r="I63" s="202"/>
      <c r="J63" s="203"/>
    </row>
    <row r="64" spans="1:19" ht="15.75" customHeight="1" x14ac:dyDescent="0.25">
      <c r="A64" s="205" t="str">
        <f>CONCATENATE("※1 月額上限",IF('16号-1'!$Q$3=TRUE,"122,000円","97,000円"))</f>
        <v>※1 月額上限97,000円</v>
      </c>
      <c r="B64" s="200"/>
      <c r="C64" s="200"/>
      <c r="D64" s="201"/>
      <c r="E64" s="201"/>
      <c r="F64" s="202"/>
      <c r="G64" s="202"/>
      <c r="H64" s="202"/>
      <c r="I64" s="202"/>
      <c r="J64" s="203"/>
      <c r="K64" s="204"/>
      <c r="Q64" s="144" t="s">
        <v>101</v>
      </c>
    </row>
    <row r="65" spans="1:17" ht="15.75" customHeight="1" x14ac:dyDescent="0.25">
      <c r="A65" s="205" t="str">
        <f>CONCATENATE("※2 年間上限",IF('16号-1'!$Q$3=TRUE,"420,000円","120,000円"))</f>
        <v>※2 年間上限120,000円</v>
      </c>
      <c r="B65" s="196"/>
      <c r="C65" s="196"/>
      <c r="D65" s="196"/>
      <c r="E65" s="196"/>
      <c r="F65" s="196"/>
      <c r="G65" s="196"/>
      <c r="H65" s="196"/>
      <c r="I65" s="196"/>
      <c r="J65" s="196"/>
      <c r="N65" s="88"/>
    </row>
    <row r="66" spans="1:17" ht="15.75" customHeight="1" x14ac:dyDescent="0.25">
      <c r="A66" s="205" t="str">
        <f>CONCATENATE("（※1※2の合計は年間上限",IF('16号-1'!$Q$3=TRUE,"1,500,000円","1,200,000円"),"）")</f>
        <v>（※1※2の合計は年間上限1,200,000円）</v>
      </c>
      <c r="B66" s="196"/>
      <c r="C66" s="196"/>
      <c r="D66" s="196"/>
      <c r="E66" s="196"/>
      <c r="F66" s="196"/>
      <c r="G66" s="196"/>
      <c r="H66" s="196"/>
      <c r="I66" s="196"/>
      <c r="J66" s="196"/>
      <c r="K66" s="107"/>
      <c r="L66" s="144" t="s">
        <v>116</v>
      </c>
      <c r="M66" s="88" t="s">
        <v>115</v>
      </c>
      <c r="N66" s="137" t="s">
        <v>117</v>
      </c>
      <c r="O66" s="245">
        <f>SUM(N17:N50)</f>
        <v>0</v>
      </c>
      <c r="P66" s="255">
        <v>180000</v>
      </c>
      <c r="Q66" s="244">
        <f>IF(SUM('16号-2①'!Q66,'16号-2②'!Q66)&gt;=P66,0,MIN(P66-SUM('16号-2①'!Q66,'16号-2②'!Q66),O66))</f>
        <v>0</v>
      </c>
    </row>
    <row r="67" spans="1:17" ht="21.95" customHeight="1" x14ac:dyDescent="0.25">
      <c r="A67" s="196"/>
      <c r="B67" s="196"/>
      <c r="C67" s="196"/>
      <c r="D67" s="196"/>
      <c r="E67" s="196"/>
      <c r="F67" s="196"/>
      <c r="G67" s="196"/>
      <c r="H67" s="196"/>
      <c r="I67" s="196"/>
      <c r="J67" s="196"/>
      <c r="N67" s="88"/>
    </row>
    <row r="68" spans="1:17" ht="9.75" customHeight="1" x14ac:dyDescent="0.25">
      <c r="A68" s="196"/>
      <c r="B68" s="196"/>
      <c r="C68" s="196"/>
      <c r="D68" s="196"/>
      <c r="E68" s="196"/>
      <c r="F68" s="196"/>
      <c r="G68" s="196"/>
      <c r="H68" s="196"/>
      <c r="I68" s="196"/>
      <c r="J68" s="196"/>
      <c r="N68" s="88"/>
    </row>
  </sheetData>
  <sheetProtection algorithmName="SHA-512" hashValue="hBPInPjt5WE1V6exU/1Ye7qx1wMRYVKgeMo8DqqTUnU8mCgLawfAyvfI1shr/k6TWA+wtPWkqPRXusdc34yP0w==" saltValue="NiSaTWzn74LfyhybCeup8w==" spinCount="100000" sheet="1" objects="1" selectLockedCells="1"/>
  <mergeCells count="107">
    <mergeCell ref="L6:L7"/>
    <mergeCell ref="M6:M7"/>
    <mergeCell ref="L59:L60"/>
    <mergeCell ref="M59:M60"/>
    <mergeCell ref="A15:A16"/>
    <mergeCell ref="B15:C16"/>
    <mergeCell ref="D15:E16"/>
    <mergeCell ref="B4:H4"/>
    <mergeCell ref="C6:J6"/>
    <mergeCell ref="C7:J7"/>
    <mergeCell ref="C8:D8"/>
    <mergeCell ref="F8:G8"/>
    <mergeCell ref="B10:C10"/>
    <mergeCell ref="D10:E10"/>
    <mergeCell ref="F10:J10"/>
    <mergeCell ref="F15:J15"/>
    <mergeCell ref="F16:J16"/>
    <mergeCell ref="B17:C18"/>
    <mergeCell ref="D17:E18"/>
    <mergeCell ref="F17:H17"/>
    <mergeCell ref="I17:J17"/>
    <mergeCell ref="F18:J18"/>
    <mergeCell ref="D11:E11"/>
    <mergeCell ref="D12:E12"/>
    <mergeCell ref="B28:C29"/>
    <mergeCell ref="D28:E29"/>
    <mergeCell ref="F28:H28"/>
    <mergeCell ref="I28:J28"/>
    <mergeCell ref="F29:J29"/>
    <mergeCell ref="D23:E23"/>
    <mergeCell ref="D24:E24"/>
    <mergeCell ref="D25:E25"/>
    <mergeCell ref="D13:E13"/>
    <mergeCell ref="D14:E14"/>
    <mergeCell ref="B19:B20"/>
    <mergeCell ref="D19:E20"/>
    <mergeCell ref="B21:C21"/>
    <mergeCell ref="D21:E21"/>
    <mergeCell ref="F21:J21"/>
    <mergeCell ref="D22:E22"/>
    <mergeCell ref="F26:H26"/>
    <mergeCell ref="I26:J26"/>
    <mergeCell ref="A26:A27"/>
    <mergeCell ref="B26:C27"/>
    <mergeCell ref="D26:E27"/>
    <mergeCell ref="B39:C40"/>
    <mergeCell ref="D39:E40"/>
    <mergeCell ref="F39:H39"/>
    <mergeCell ref="I39:J39"/>
    <mergeCell ref="F40:J40"/>
    <mergeCell ref="D34:E34"/>
    <mergeCell ref="D35:E35"/>
    <mergeCell ref="D36:E36"/>
    <mergeCell ref="A37:A38"/>
    <mergeCell ref="B37:C38"/>
    <mergeCell ref="D37:E38"/>
    <mergeCell ref="B30:B31"/>
    <mergeCell ref="D30:E31"/>
    <mergeCell ref="B32:C32"/>
    <mergeCell ref="D32:E32"/>
    <mergeCell ref="F32:J32"/>
    <mergeCell ref="D33:E33"/>
    <mergeCell ref="F37:H37"/>
    <mergeCell ref="I37:J37"/>
    <mergeCell ref="F38:J38"/>
    <mergeCell ref="F27:J27"/>
    <mergeCell ref="A48:A49"/>
    <mergeCell ref="B48:C49"/>
    <mergeCell ref="D48:E49"/>
    <mergeCell ref="B41:B42"/>
    <mergeCell ref="D41:E42"/>
    <mergeCell ref="B43:C43"/>
    <mergeCell ref="D43:E43"/>
    <mergeCell ref="F43:J43"/>
    <mergeCell ref="D44:E44"/>
    <mergeCell ref="F48:H48"/>
    <mergeCell ref="I48:J48"/>
    <mergeCell ref="F49:J49"/>
    <mergeCell ref="B50:C51"/>
    <mergeCell ref="D50:E51"/>
    <mergeCell ref="F50:H50"/>
    <mergeCell ref="I50:J50"/>
    <mergeCell ref="F51:J51"/>
    <mergeCell ref="D45:E45"/>
    <mergeCell ref="D46:E46"/>
    <mergeCell ref="D47:E47"/>
    <mergeCell ref="B52:B53"/>
    <mergeCell ref="D52:E53"/>
    <mergeCell ref="B54:C54"/>
    <mergeCell ref="D54:E54"/>
    <mergeCell ref="F54:J54"/>
    <mergeCell ref="A55:A62"/>
    <mergeCell ref="D55:E55"/>
    <mergeCell ref="F55:J58"/>
    <mergeCell ref="D56:E56"/>
    <mergeCell ref="D57:E57"/>
    <mergeCell ref="D61:E61"/>
    <mergeCell ref="B62:C62"/>
    <mergeCell ref="D62:E62"/>
    <mergeCell ref="D58:E58"/>
    <mergeCell ref="B59:C59"/>
    <mergeCell ref="D59:E59"/>
    <mergeCell ref="F59:G59"/>
    <mergeCell ref="H59:J59"/>
    <mergeCell ref="D60:E60"/>
    <mergeCell ref="F60:G60"/>
    <mergeCell ref="H60:I60"/>
  </mergeCells>
  <phoneticPr fontId="2"/>
  <conditionalFormatting sqref="A44:J54">
    <cfRule type="expression" dxfId="6" priority="2">
      <formula>AND($A$48="",$A$15&lt;&gt;"")</formula>
    </cfRule>
  </conditionalFormatting>
  <conditionalFormatting sqref="A37:J43 A33:C33 A34:E36 G33:J36">
    <cfRule type="expression" dxfId="5" priority="1">
      <formula>AND($A$37="",$A$15&lt;&gt;"")</formula>
    </cfRule>
  </conditionalFormatting>
  <dataValidations count="3">
    <dataValidation type="whole" allowBlank="1" showInputMessage="1" showErrorMessage="1" errorTitle="入力値が不正です" error="月上限額を超えている、またはテキストが入力されています_x000a__x000a__x000a_" sqref="D33:E36 D11:E14 D22:E27 D44:E47" xr:uid="{E6004170-E760-43C1-9994-98199922808F}">
      <formula1>0</formula1>
      <formula2>$L$15</formula2>
    </dataValidation>
    <dataValidation type="whole" allowBlank="1" showInputMessage="1" showErrorMessage="1" errorTitle="入力値が不正です" error="年上限額を超えている、またはテキストが入力されています_x000a_" sqref="D17:E18 D28:E29 D39:E40 D50:E51" xr:uid="{D3B729BF-ADD6-46F6-AD17-E979A8691D21}">
      <formula1>0</formula1>
      <formula2>$P$17</formula2>
    </dataValidation>
    <dataValidation type="whole" allowBlank="1" showInputMessage="1" showErrorMessage="1" errorTitle="入力値が不正です" error="月上限額を超えている、またはテキストが入力されています" sqref="D19:E20 D30:E31 D41:E42 D52:E53" xr:uid="{F7E20B7C-635F-4C02-9B02-F4C917FC81FC}">
      <formula1>0</formula1>
      <formula2>30000</formula2>
    </dataValidation>
  </dataValidations>
  <printOptions horizontalCentered="1" verticalCentered="1"/>
  <pageMargins left="0.15748031496062992" right="0.15748031496062992" top="0.27559055118110237" bottom="0.27559055118110237" header="0.15748031496062992" footer="0.15748031496062992"/>
  <pageSetup paperSize="9" scale="71" fitToWidth="0" orientation="portrait" blackAndWhite="1" r:id="rId1"/>
  <headerFooter>
    <oddHeader xml:space="preserve">&amp;R&amp;10
. </oddHeader>
    <oddFooter>&amp;L&amp;10　.&amp;CPC版&amp;R&amp;8.</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AF31A-A632-4DC5-9673-6CB091008876}">
  <sheetPr>
    <tabColor rgb="FFFFC000"/>
    <pageSetUpPr fitToPage="1"/>
  </sheetPr>
  <dimension ref="A1:V68"/>
  <sheetViews>
    <sheetView showGridLines="0" view="pageBreakPreview" zoomScale="50" zoomScaleNormal="70" zoomScaleSheetLayoutView="50" workbookViewId="0">
      <selection activeCell="D11" sqref="D11:E11"/>
    </sheetView>
  </sheetViews>
  <sheetFormatPr defaultRowHeight="21.75" x14ac:dyDescent="0.25"/>
  <cols>
    <col min="1" max="1" width="15.125" style="78" customWidth="1"/>
    <col min="2" max="2" width="21.625" style="77" customWidth="1"/>
    <col min="3" max="3" width="8.5" style="77" customWidth="1"/>
    <col min="4" max="4" width="30.625" style="79" customWidth="1"/>
    <col min="5" max="5" width="3.625" style="80" customWidth="1"/>
    <col min="6" max="7" width="11.625" style="77" customWidth="1"/>
    <col min="8" max="8" width="6.625" style="77" customWidth="1"/>
    <col min="9" max="10" width="8.625" style="77" customWidth="1"/>
    <col min="11" max="11" width="62.625" style="93" customWidth="1"/>
    <col min="12" max="12" width="10.5" style="88" hidden="1" customWidth="1"/>
    <col min="13" max="13" width="12.5" style="88" hidden="1" customWidth="1"/>
    <col min="14" max="14" width="9.25" style="137" hidden="1" customWidth="1"/>
    <col min="15" max="15" width="10.25" style="144" hidden="1" customWidth="1"/>
    <col min="16" max="16" width="10.625" style="88" hidden="1" customWidth="1"/>
    <col min="17" max="17" width="15.625" style="88" hidden="1" customWidth="1"/>
    <col min="18" max="18" width="4.625" style="88" hidden="1" customWidth="1"/>
    <col min="19" max="19" width="9" style="89" hidden="1" customWidth="1"/>
    <col min="20" max="20" width="9" style="89" customWidth="1"/>
    <col min="21" max="22" width="9" style="89"/>
    <col min="23" max="16384" width="9" style="9"/>
  </cols>
  <sheetData>
    <row r="1" spans="1:22" ht="56.25" customHeight="1" thickBot="1" x14ac:dyDescent="0.3">
      <c r="A1" s="46"/>
      <c r="B1" s="19"/>
      <c r="C1" s="19"/>
      <c r="D1" s="20"/>
      <c r="E1" s="49"/>
      <c r="F1" s="19"/>
      <c r="G1" s="19"/>
      <c r="H1" s="19"/>
      <c r="I1" s="19"/>
      <c r="J1" s="19"/>
      <c r="O1" s="138"/>
    </row>
    <row r="2" spans="1:22" ht="27" customHeight="1" thickTop="1" thickBot="1" x14ac:dyDescent="0.35">
      <c r="A2" s="242" t="str">
        <f>IF($A$15="","このシートは提出不要です","")</f>
        <v/>
      </c>
      <c r="B2" s="19"/>
      <c r="C2" s="19"/>
      <c r="D2" s="20"/>
      <c r="E2" s="49"/>
      <c r="F2" s="21"/>
      <c r="G2" s="21"/>
      <c r="H2" s="21"/>
      <c r="I2" s="21"/>
      <c r="J2" s="22" t="str">
        <f>'16号-1'!L3</f>
        <v>令和3年6月研修開始</v>
      </c>
      <c r="L2" s="178">
        <f>EOMONTH('16号-1'!$Z$10,11)</f>
        <v>44712</v>
      </c>
      <c r="M2" s="139" t="s">
        <v>58</v>
      </c>
      <c r="N2" s="140"/>
      <c r="O2" s="141"/>
      <c r="P2" s="110"/>
      <c r="Q2" s="110"/>
      <c r="R2" s="111"/>
    </row>
    <row r="3" spans="1:22" ht="24.75" thickTop="1" x14ac:dyDescent="0.35">
      <c r="A3" s="23" t="s">
        <v>85</v>
      </c>
      <c r="B3" s="19"/>
      <c r="C3" s="19"/>
      <c r="D3" s="20"/>
      <c r="E3" s="49"/>
      <c r="F3" s="24"/>
      <c r="G3" s="24"/>
      <c r="H3" s="24"/>
      <c r="I3" s="24"/>
      <c r="J3" s="24"/>
      <c r="L3" s="142"/>
      <c r="M3" s="142"/>
      <c r="N3" s="143"/>
    </row>
    <row r="4" spans="1:22" ht="23.25" customHeight="1" x14ac:dyDescent="0.35">
      <c r="A4" s="23"/>
      <c r="B4" s="380" t="s">
        <v>83</v>
      </c>
      <c r="C4" s="380"/>
      <c r="D4" s="380"/>
      <c r="E4" s="380"/>
      <c r="F4" s="380"/>
      <c r="G4" s="380"/>
      <c r="H4" s="380"/>
      <c r="I4" s="24"/>
      <c r="J4" s="24"/>
      <c r="L4" s="142"/>
      <c r="M4" s="142"/>
      <c r="N4" s="143"/>
    </row>
    <row r="5" spans="1:22" ht="19.5" customHeight="1" x14ac:dyDescent="0.25">
      <c r="A5" s="224" t="str">
        <f>IF('16号-1'!$W$17="","（月別内訳④：）","（月別内訳④："&amp;YEAR('16号-1'!T17)&amp;"年"&amp;MONTH('16号-1'!T17)&amp;"月～"&amp;YEAR('16号-1'!U17)&amp;"年"&amp;MONTH('16号-1'!U17)&amp;"月）")</f>
        <v>（月別内訳④：2023年4月～2023年5月）</v>
      </c>
      <c r="B5" s="25"/>
      <c r="C5" s="25"/>
      <c r="D5" s="86"/>
      <c r="E5" s="50"/>
      <c r="F5" s="25"/>
      <c r="G5" s="25"/>
      <c r="H5" s="25"/>
      <c r="I5" s="25"/>
      <c r="J5" s="25"/>
    </row>
    <row r="6" spans="1:22" s="10" customFormat="1" ht="24" x14ac:dyDescent="0.35">
      <c r="A6" s="26"/>
      <c r="B6" s="27" t="s">
        <v>6</v>
      </c>
      <c r="C6" s="426" t="str">
        <f>IF('16号-1'!$G$10="","",'16号-1'!$G$10)</f>
        <v/>
      </c>
      <c r="D6" s="426"/>
      <c r="E6" s="426"/>
      <c r="F6" s="426"/>
      <c r="G6" s="426"/>
      <c r="H6" s="426"/>
      <c r="I6" s="426"/>
      <c r="J6" s="426"/>
      <c r="K6" s="94"/>
      <c r="L6" s="447" t="s">
        <v>105</v>
      </c>
      <c r="M6" s="449">
        <f>IF('16号-1'!$Q$3=TRUE,1500000,1200000)</f>
        <v>1200000</v>
      </c>
      <c r="N6" s="145"/>
      <c r="O6" s="146"/>
      <c r="P6" s="90"/>
      <c r="Q6" s="90"/>
      <c r="R6" s="90"/>
      <c r="S6" s="91"/>
      <c r="T6" s="91"/>
      <c r="U6" s="91"/>
      <c r="V6" s="91"/>
    </row>
    <row r="7" spans="1:22" s="10" customFormat="1" ht="24" x14ac:dyDescent="0.35">
      <c r="A7" s="26"/>
      <c r="B7" s="27" t="s">
        <v>4</v>
      </c>
      <c r="C7" s="426" t="str">
        <f>IF('16号-1'!$E$20="","",'16号-1'!$E$20)</f>
        <v/>
      </c>
      <c r="D7" s="426"/>
      <c r="E7" s="426"/>
      <c r="F7" s="426"/>
      <c r="G7" s="426"/>
      <c r="H7" s="426"/>
      <c r="I7" s="426"/>
      <c r="J7" s="426"/>
      <c r="K7" s="94"/>
      <c r="L7" s="448"/>
      <c r="M7" s="449"/>
      <c r="N7" s="145"/>
      <c r="O7" s="146"/>
      <c r="P7" s="90"/>
      <c r="Q7" s="90"/>
      <c r="R7" s="90"/>
      <c r="S7" s="91"/>
      <c r="T7" s="91"/>
      <c r="U7" s="91"/>
      <c r="V7" s="91"/>
    </row>
    <row r="8" spans="1:22" ht="6" hidden="1" customHeight="1" x14ac:dyDescent="0.3">
      <c r="A8" s="18"/>
      <c r="B8" s="28"/>
      <c r="C8" s="430"/>
      <c r="D8" s="430"/>
      <c r="E8" s="51"/>
      <c r="F8" s="429"/>
      <c r="G8" s="429"/>
      <c r="H8" s="211"/>
      <c r="I8" s="211"/>
      <c r="J8" s="19"/>
      <c r="K8" s="95"/>
    </row>
    <row r="9" spans="1:22" ht="6.75" customHeight="1" thickBot="1" x14ac:dyDescent="0.3">
      <c r="A9" s="18"/>
      <c r="B9" s="29"/>
      <c r="C9" s="29"/>
      <c r="D9" s="20"/>
      <c r="E9" s="49"/>
      <c r="F9" s="19"/>
      <c r="G9" s="19"/>
      <c r="H9" s="19"/>
      <c r="I9" s="19"/>
      <c r="J9" s="45"/>
    </row>
    <row r="10" spans="1:22" ht="29.25" customHeight="1" thickBot="1" x14ac:dyDescent="0.3">
      <c r="A10" s="30"/>
      <c r="B10" s="432" t="s">
        <v>11</v>
      </c>
      <c r="C10" s="433"/>
      <c r="D10" s="427" t="s">
        <v>10</v>
      </c>
      <c r="E10" s="428"/>
      <c r="F10" s="432" t="s">
        <v>44</v>
      </c>
      <c r="G10" s="434"/>
      <c r="H10" s="434"/>
      <c r="I10" s="434"/>
      <c r="J10" s="435"/>
      <c r="L10" s="172" t="s">
        <v>60</v>
      </c>
      <c r="M10" s="173" t="s">
        <v>52</v>
      </c>
      <c r="N10" s="174" t="s">
        <v>53</v>
      </c>
      <c r="O10" s="174" t="s">
        <v>92</v>
      </c>
      <c r="P10" s="175" t="s">
        <v>57</v>
      </c>
      <c r="Q10" s="176"/>
      <c r="R10" s="177" t="s">
        <v>61</v>
      </c>
    </row>
    <row r="11" spans="1:22" ht="21" customHeight="1" x14ac:dyDescent="0.25">
      <c r="A11" s="30"/>
      <c r="B11" s="31" t="s">
        <v>0</v>
      </c>
      <c r="C11" s="32"/>
      <c r="D11" s="398"/>
      <c r="E11" s="399"/>
      <c r="F11" s="31" t="s">
        <v>114</v>
      </c>
      <c r="G11" s="33"/>
      <c r="H11" s="33"/>
      <c r="I11" s="33"/>
      <c r="J11" s="34"/>
      <c r="L11" s="147">
        <f>IF(A15="",0,IF(D11="",0,MIN(D11,L15)))</f>
        <v>0</v>
      </c>
      <c r="M11" s="113"/>
      <c r="N11" s="136"/>
      <c r="O11" s="179"/>
      <c r="P11" s="113"/>
      <c r="Q11" s="113"/>
      <c r="R11" s="115"/>
    </row>
    <row r="12" spans="1:22" ht="21" customHeight="1" x14ac:dyDescent="0.25">
      <c r="A12" s="35"/>
      <c r="B12" s="36" t="s">
        <v>2</v>
      </c>
      <c r="C12" s="37"/>
      <c r="D12" s="464"/>
      <c r="E12" s="465"/>
      <c r="F12" s="36" t="s">
        <v>114</v>
      </c>
      <c r="G12" s="38"/>
      <c r="H12" s="38"/>
      <c r="I12" s="38"/>
      <c r="J12" s="39"/>
      <c r="L12" s="148">
        <f>IF($D11&gt;D15,0,IF($D11+D12&lt;D15,D12,D15-$D11))</f>
        <v>0</v>
      </c>
      <c r="M12" s="113"/>
      <c r="N12" s="136"/>
      <c r="O12" s="149"/>
      <c r="P12" s="113"/>
      <c r="Q12" s="113"/>
      <c r="R12" s="115"/>
    </row>
    <row r="13" spans="1:22" ht="21" customHeight="1" x14ac:dyDescent="0.25">
      <c r="A13" s="35"/>
      <c r="B13" s="36" t="s">
        <v>3</v>
      </c>
      <c r="C13" s="37"/>
      <c r="D13" s="464"/>
      <c r="E13" s="465"/>
      <c r="F13" s="36" t="s">
        <v>114</v>
      </c>
      <c r="G13" s="38"/>
      <c r="H13" s="38"/>
      <c r="I13" s="38"/>
      <c r="J13" s="39"/>
      <c r="L13" s="148">
        <f>IF($D11+$D12&gt;D15,0,IF($D11+$D12+D13&lt;D15,D13,D15-$D11-$D12))</f>
        <v>0</v>
      </c>
      <c r="M13" s="113"/>
      <c r="N13" s="136"/>
      <c r="O13" s="149"/>
      <c r="P13" s="113"/>
      <c r="Q13" s="113"/>
      <c r="R13" s="115"/>
    </row>
    <row r="14" spans="1:22" ht="21" customHeight="1" x14ac:dyDescent="0.25">
      <c r="A14" s="40"/>
      <c r="B14" s="36" t="s">
        <v>1</v>
      </c>
      <c r="C14" s="37"/>
      <c r="D14" s="464"/>
      <c r="E14" s="465"/>
      <c r="F14" s="36" t="s">
        <v>114</v>
      </c>
      <c r="G14" s="38"/>
      <c r="H14" s="38"/>
      <c r="I14" s="38"/>
      <c r="J14" s="39"/>
      <c r="L14" s="148">
        <f>IF($D11+$D12+$D13&gt;D15,0,IF($D11+$D12+$D13+D14&lt;D15,D14,D15-$D11-$D12-$D13))</f>
        <v>0</v>
      </c>
      <c r="M14" s="113"/>
      <c r="N14" s="136"/>
      <c r="O14" s="150"/>
      <c r="P14" s="113"/>
      <c r="Q14" s="113"/>
      <c r="R14" s="115"/>
    </row>
    <row r="15" spans="1:22" ht="15" customHeight="1" thickBot="1" x14ac:dyDescent="0.3">
      <c r="A15" s="411">
        <f>IF('16号-1'!W17="","",'16号-1'!T17)</f>
        <v>45017</v>
      </c>
      <c r="B15" s="414" t="s">
        <v>9</v>
      </c>
      <c r="C15" s="415"/>
      <c r="D15" s="418">
        <f>IF($A$15="",0,IF(SUM(D11:E14)&lt;=$L$15,SUM(D11:E14),$L$15))</f>
        <v>0</v>
      </c>
      <c r="E15" s="419"/>
      <c r="F15" s="381" t="str">
        <f>IF('16号-1'!$Q$3=TRUE,"  ←　月計の上限額122,000円","  ←　月計の上限額97,000円")</f>
        <v xml:space="preserve">  ←　月計の上限額97,000円</v>
      </c>
      <c r="G15" s="382"/>
      <c r="H15" s="382"/>
      <c r="I15" s="382"/>
      <c r="J15" s="383"/>
      <c r="L15" s="151">
        <f>IF('16号-1'!$Q$3=TRUE,122000,97000)</f>
        <v>97000</v>
      </c>
      <c r="R15" s="115"/>
    </row>
    <row r="16" spans="1:22" ht="30" customHeight="1" thickBot="1" x14ac:dyDescent="0.3">
      <c r="A16" s="411"/>
      <c r="B16" s="416"/>
      <c r="C16" s="417"/>
      <c r="D16" s="420"/>
      <c r="E16" s="421"/>
      <c r="F16" s="384" t="str">
        <f>IF($A15="","",IF(SUM(D11:E14)&gt;$L$15,"　(1)～(4)の月計が上限額を超えています",""))</f>
        <v/>
      </c>
      <c r="G16" s="385"/>
      <c r="H16" s="385"/>
      <c r="I16" s="385"/>
      <c r="J16" s="386"/>
      <c r="L16" s="152"/>
      <c r="M16" s="125">
        <f>A15</f>
        <v>45017</v>
      </c>
      <c r="N16" s="108"/>
      <c r="O16" s="149"/>
      <c r="P16" s="113"/>
      <c r="Q16" s="113"/>
      <c r="R16" s="120"/>
    </row>
    <row r="17" spans="1:19" ht="15" customHeight="1" thickBot="1" x14ac:dyDescent="0.3">
      <c r="A17" s="35"/>
      <c r="B17" s="407" t="s">
        <v>12</v>
      </c>
      <c r="C17" s="408"/>
      <c r="D17" s="400"/>
      <c r="E17" s="401"/>
      <c r="F17" s="387" t="str">
        <f>IF('16号-1'!$Q$3=TRUE,"  ←　年度上限　420,000円","  ←　年度上限　120,000円")</f>
        <v xml:space="preserve">  ←　年度上限　120,000円</v>
      </c>
      <c r="G17" s="388"/>
      <c r="H17" s="388"/>
      <c r="I17" s="389"/>
      <c r="J17" s="390"/>
      <c r="L17" s="236">
        <f>IF($A15="",0,IF(SUM(D11:E14)&lt;=$L15,SUM(D11:E14),$L15))</f>
        <v>0</v>
      </c>
      <c r="M17" s="237"/>
      <c r="N17" s="238">
        <f>IF($A15="",0,IF($D19="",0,MIN(30000,$D19)))</f>
        <v>0</v>
      </c>
      <c r="O17" s="239">
        <f>IF($A15="",0,IF($D17="",0,MIN($P17,$D17)))</f>
        <v>0</v>
      </c>
      <c r="P17" s="151">
        <f>IF('16号-1'!$Q$3=TRUE,420000,120000)</f>
        <v>120000</v>
      </c>
      <c r="Q17" s="228">
        <f>A15</f>
        <v>45017</v>
      </c>
      <c r="R17" s="109">
        <f>IFERROR(DATEDIF('16号-1'!$Z$10,M16,"M")+1,"")</f>
        <v>23</v>
      </c>
      <c r="S17" s="89" t="str">
        <f>IF(R17="","",IF(R17&lt;13,"1年目","2年目"))</f>
        <v>2年目</v>
      </c>
    </row>
    <row r="18" spans="1:19" ht="15" customHeight="1" thickBot="1" x14ac:dyDescent="0.3">
      <c r="A18" s="35"/>
      <c r="B18" s="409"/>
      <c r="C18" s="410"/>
      <c r="D18" s="402"/>
      <c r="E18" s="403"/>
      <c r="F18" s="404" t="str">
        <f>IF(D17="","",IF(D17&gt;P17,"　入力金額が年度上限を越えています",""))</f>
        <v/>
      </c>
      <c r="G18" s="405"/>
      <c r="H18" s="405"/>
      <c r="I18" s="405"/>
      <c r="J18" s="406"/>
      <c r="L18" s="153"/>
      <c r="M18" s="154"/>
      <c r="N18" s="135"/>
      <c r="O18" s="229"/>
      <c r="P18" s="230"/>
      <c r="Q18" s="228"/>
      <c r="R18" s="231"/>
    </row>
    <row r="19" spans="1:19" ht="15" customHeight="1" x14ac:dyDescent="0.25">
      <c r="A19" s="35"/>
      <c r="B19" s="407" t="s">
        <v>8</v>
      </c>
      <c r="C19" s="235"/>
      <c r="D19" s="400"/>
      <c r="E19" s="424"/>
      <c r="F19" s="225" t="s">
        <v>32</v>
      </c>
      <c r="G19" s="226"/>
      <c r="H19" s="226"/>
      <c r="I19" s="226"/>
      <c r="J19" s="227"/>
      <c r="L19" s="155"/>
      <c r="M19" s="113"/>
      <c r="N19" s="135"/>
      <c r="O19" s="149"/>
      <c r="P19" s="113"/>
      <c r="Q19" s="113"/>
      <c r="R19" s="121"/>
    </row>
    <row r="20" spans="1:19" ht="15" customHeight="1" x14ac:dyDescent="0.25">
      <c r="A20" s="35"/>
      <c r="B20" s="409"/>
      <c r="C20" s="41"/>
      <c r="D20" s="402"/>
      <c r="E20" s="425"/>
      <c r="F20" s="234" t="str">
        <f>IF(D19="","",IF(D19&gt;30000,"　入力金額が年度上限を越えています",""))</f>
        <v/>
      </c>
      <c r="G20" s="232"/>
      <c r="H20" s="232"/>
      <c r="I20" s="232"/>
      <c r="J20" s="233"/>
      <c r="L20" s="155"/>
      <c r="M20" s="113"/>
      <c r="N20" s="135"/>
      <c r="O20" s="149"/>
      <c r="P20" s="113"/>
      <c r="Q20" s="113"/>
      <c r="R20" s="115"/>
    </row>
    <row r="21" spans="1:19" ht="21" customHeight="1" thickBot="1" x14ac:dyDescent="0.3">
      <c r="A21" s="42"/>
      <c r="B21" s="412" t="str">
        <f>IF($A15="","月計",MONTH(A15)&amp;"月計")</f>
        <v>4月計</v>
      </c>
      <c r="C21" s="413"/>
      <c r="D21" s="422">
        <f>SUM(L17:O17)</f>
        <v>0</v>
      </c>
      <c r="E21" s="423"/>
      <c r="F21" s="391"/>
      <c r="G21" s="392"/>
      <c r="H21" s="392"/>
      <c r="I21" s="392"/>
      <c r="J21" s="393"/>
      <c r="L21" s="156"/>
      <c r="M21" s="114"/>
      <c r="N21" s="157"/>
      <c r="O21" s="149"/>
      <c r="P21" s="114"/>
      <c r="Q21" s="114"/>
      <c r="R21" s="116"/>
    </row>
    <row r="22" spans="1:19" ht="21" customHeight="1" x14ac:dyDescent="0.25">
      <c r="A22" s="30"/>
      <c r="B22" s="31" t="s">
        <v>0</v>
      </c>
      <c r="C22" s="32"/>
      <c r="D22" s="398"/>
      <c r="E22" s="399"/>
      <c r="F22" s="31" t="s">
        <v>114</v>
      </c>
      <c r="G22" s="33"/>
      <c r="H22" s="33"/>
      <c r="I22" s="33"/>
      <c r="J22" s="34"/>
      <c r="L22" s="147">
        <f>IF(A26="",0,IF(D22="",0,MIN(D22,L26)))</f>
        <v>0</v>
      </c>
      <c r="M22" s="112"/>
      <c r="N22" s="159"/>
      <c r="O22" s="180"/>
      <c r="P22" s="112"/>
      <c r="Q22" s="112"/>
      <c r="R22" s="117"/>
    </row>
    <row r="23" spans="1:19" ht="21" customHeight="1" x14ac:dyDescent="0.25">
      <c r="A23" s="35"/>
      <c r="B23" s="36" t="s">
        <v>2</v>
      </c>
      <c r="C23" s="37"/>
      <c r="D23" s="464"/>
      <c r="E23" s="465"/>
      <c r="F23" s="36" t="s">
        <v>114</v>
      </c>
      <c r="G23" s="38"/>
      <c r="H23" s="38"/>
      <c r="I23" s="38"/>
      <c r="J23" s="39"/>
      <c r="L23" s="155">
        <f>IF($D22&gt;D26,0,IF($D22+D23&lt;D26,D23,D26-$D22))</f>
        <v>0</v>
      </c>
      <c r="M23" s="113"/>
      <c r="N23" s="160"/>
      <c r="O23" s="149"/>
      <c r="P23" s="113"/>
      <c r="Q23" s="113"/>
      <c r="R23" s="118"/>
    </row>
    <row r="24" spans="1:19" ht="21" customHeight="1" x14ac:dyDescent="0.25">
      <c r="A24" s="35"/>
      <c r="B24" s="36" t="s">
        <v>3</v>
      </c>
      <c r="C24" s="37"/>
      <c r="D24" s="464"/>
      <c r="E24" s="465"/>
      <c r="F24" s="36" t="s">
        <v>114</v>
      </c>
      <c r="G24" s="38"/>
      <c r="H24" s="38"/>
      <c r="I24" s="38"/>
      <c r="J24" s="39"/>
      <c r="L24" s="155">
        <f>IF($D22+$D23&gt;D26,0,IF($D22+$D23+D24&lt;D26,D24,D26-$D22-$D23))</f>
        <v>0</v>
      </c>
      <c r="M24" s="113"/>
      <c r="N24" s="160"/>
      <c r="O24" s="149"/>
      <c r="P24" s="184" t="s">
        <v>72</v>
      </c>
      <c r="Q24" s="113"/>
      <c r="R24" s="118"/>
    </row>
    <row r="25" spans="1:19" ht="21" customHeight="1" x14ac:dyDescent="0.25">
      <c r="A25" s="40"/>
      <c r="B25" s="36" t="s">
        <v>1</v>
      </c>
      <c r="C25" s="37"/>
      <c r="D25" s="464"/>
      <c r="E25" s="465"/>
      <c r="F25" s="36" t="s">
        <v>114</v>
      </c>
      <c r="G25" s="38"/>
      <c r="H25" s="38"/>
      <c r="I25" s="38"/>
      <c r="J25" s="39"/>
      <c r="L25" s="155">
        <f>IF($D22+$D23+$D24&gt;D26,0,IF($D22+$D23+$D24+D25&lt;D26,D25,D26-$D22-$D23-$D24))</f>
        <v>0</v>
      </c>
      <c r="M25" s="113"/>
      <c r="N25" s="161"/>
      <c r="O25" s="149"/>
      <c r="P25" s="181" t="s">
        <v>63</v>
      </c>
      <c r="Q25" s="113"/>
      <c r="R25" s="118"/>
    </row>
    <row r="26" spans="1:19" ht="15" customHeight="1" thickBot="1" x14ac:dyDescent="0.3">
      <c r="A26" s="411">
        <f>IF('16号-1'!$W$17="","",IF('16号-1'!$W$17&gt;=2,(EOMONTH(A15,0)+1),""))</f>
        <v>45047</v>
      </c>
      <c r="B26" s="414" t="s">
        <v>9</v>
      </c>
      <c r="C26" s="415"/>
      <c r="D26" s="418">
        <f>IF($A$26="",0,IF(SUM(D22:E25)&lt;=$L$26,SUM(D22:E25),$L$26))</f>
        <v>0</v>
      </c>
      <c r="E26" s="419"/>
      <c r="F26" s="396" t="str">
        <f>IF('16号-1'!$Q$3=TRUE,"  ←　月計の上限額122,000円","  ←　月計の上限額97,000円")</f>
        <v xml:space="preserve">  ←　月計の上限額97,000円</v>
      </c>
      <c r="G26" s="397"/>
      <c r="H26" s="397"/>
      <c r="I26" s="394"/>
      <c r="J26" s="395"/>
      <c r="L26" s="151">
        <f>IF('16号-1'!$Q$3=TRUE,122000,97000)</f>
        <v>97000</v>
      </c>
      <c r="M26" s="113"/>
      <c r="N26" s="161"/>
      <c r="O26" s="149"/>
      <c r="P26" s="182" t="s">
        <v>64</v>
      </c>
      <c r="Q26" s="113"/>
      <c r="R26" s="115"/>
    </row>
    <row r="27" spans="1:19" ht="30" customHeight="1" thickBot="1" x14ac:dyDescent="0.3">
      <c r="A27" s="411"/>
      <c r="B27" s="416"/>
      <c r="C27" s="417"/>
      <c r="D27" s="420"/>
      <c r="E27" s="421"/>
      <c r="F27" s="384" t="str">
        <f>IF($A26="","",IF(SUM(D22:E25)&gt;$L$15,"　(1)～(4)の月計が上限額を超えています",""))</f>
        <v/>
      </c>
      <c r="G27" s="385"/>
      <c r="H27" s="385"/>
      <c r="I27" s="385"/>
      <c r="J27" s="386"/>
      <c r="L27" s="152"/>
      <c r="M27" s="125">
        <f>A26</f>
        <v>45047</v>
      </c>
      <c r="N27" s="108"/>
      <c r="O27" s="149"/>
      <c r="P27" s="183" t="s">
        <v>65</v>
      </c>
      <c r="Q27" s="113"/>
      <c r="R27" s="120"/>
    </row>
    <row r="28" spans="1:19" ht="15" customHeight="1" thickBot="1" x14ac:dyDescent="0.3">
      <c r="A28" s="35"/>
      <c r="B28" s="407" t="s">
        <v>12</v>
      </c>
      <c r="C28" s="408"/>
      <c r="D28" s="400"/>
      <c r="E28" s="401"/>
      <c r="F28" s="387" t="str">
        <f>IF('16号-1'!$Q$3=TRUE,"  ←　年度上限　420,000円","  ←　年度上限　120,000円")</f>
        <v xml:space="preserve">  ←　年度上限　120,000円</v>
      </c>
      <c r="G28" s="388"/>
      <c r="H28" s="388"/>
      <c r="I28" s="389"/>
      <c r="J28" s="390"/>
      <c r="L28" s="236">
        <f>IF($A26="",0,IF(SUM(D22:E25)&lt;=$L26,SUM(D22:E25),$L26))</f>
        <v>0</v>
      </c>
      <c r="M28" s="237"/>
      <c r="N28" s="238">
        <f>IF($A26="",0,IF($D30="",0,MIN(30000,$D30)))</f>
        <v>0</v>
      </c>
      <c r="O28" s="239">
        <f>IF($A26="",0,IF($D28="",0,MIN($P28,$D28)))</f>
        <v>0</v>
      </c>
      <c r="P28" s="151">
        <f>IF('16号-1'!$Q$3=TRUE,420000,120000)</f>
        <v>120000</v>
      </c>
      <c r="Q28" s="228">
        <f>A26</f>
        <v>45047</v>
      </c>
      <c r="R28" s="109">
        <f>IFERROR(DATEDIF('16号-1'!$Z$10,M27,"M")+1,"")</f>
        <v>24</v>
      </c>
      <c r="S28" s="89" t="str">
        <f>IF(R28="","",IF(R28&lt;13,"1年目","2年目"))</f>
        <v>2年目</v>
      </c>
    </row>
    <row r="29" spans="1:19" ht="15" customHeight="1" thickBot="1" x14ac:dyDescent="0.3">
      <c r="A29" s="35"/>
      <c r="B29" s="409"/>
      <c r="C29" s="410"/>
      <c r="D29" s="402"/>
      <c r="E29" s="403"/>
      <c r="F29" s="404" t="str">
        <f>IF(D28="","",IF(D28&gt;P28,"　入力金額が年度上限を越えています",""))</f>
        <v/>
      </c>
      <c r="G29" s="405"/>
      <c r="H29" s="405"/>
      <c r="I29" s="405"/>
      <c r="J29" s="406"/>
      <c r="L29" s="153"/>
      <c r="M29" s="154"/>
      <c r="N29" s="160"/>
      <c r="O29" s="229"/>
      <c r="P29" s="230"/>
      <c r="Q29" s="228"/>
      <c r="R29" s="231"/>
    </row>
    <row r="30" spans="1:19" ht="15" customHeight="1" x14ac:dyDescent="0.25">
      <c r="A30" s="35"/>
      <c r="B30" s="407" t="s">
        <v>8</v>
      </c>
      <c r="C30" s="235"/>
      <c r="D30" s="400"/>
      <c r="E30" s="424"/>
      <c r="F30" s="225" t="s">
        <v>32</v>
      </c>
      <c r="G30" s="226"/>
      <c r="H30" s="226"/>
      <c r="I30" s="226"/>
      <c r="J30" s="227"/>
      <c r="L30" s="155"/>
      <c r="M30" s="113"/>
      <c r="N30" s="135"/>
      <c r="O30" s="162" t="s">
        <v>54</v>
      </c>
      <c r="P30" s="113"/>
      <c r="Q30" s="113"/>
      <c r="R30" s="121"/>
    </row>
    <row r="31" spans="1:19" ht="15" customHeight="1" x14ac:dyDescent="0.25">
      <c r="A31" s="35"/>
      <c r="B31" s="409"/>
      <c r="C31" s="41"/>
      <c r="D31" s="402"/>
      <c r="E31" s="425"/>
      <c r="F31" s="234" t="str">
        <f>IF(D30="","",IF(D30&gt;30000,"　入力金額が年度上限を越えています",""))</f>
        <v/>
      </c>
      <c r="G31" s="232"/>
      <c r="H31" s="232"/>
      <c r="I31" s="232"/>
      <c r="J31" s="233"/>
      <c r="L31" s="155"/>
      <c r="M31" s="113"/>
      <c r="N31" s="135"/>
      <c r="O31" s="162"/>
      <c r="P31" s="113"/>
      <c r="Q31" s="113"/>
      <c r="R31" s="115"/>
    </row>
    <row r="32" spans="1:19" ht="21" customHeight="1" thickBot="1" x14ac:dyDescent="0.3">
      <c r="A32" s="42"/>
      <c r="B32" s="412" t="str">
        <f>IF($A26="","月計",MONTH(A26)&amp;"月計")</f>
        <v>5月計</v>
      </c>
      <c r="C32" s="413"/>
      <c r="D32" s="431">
        <f>SUM(L28:O28)</f>
        <v>0</v>
      </c>
      <c r="E32" s="423"/>
      <c r="F32" s="391"/>
      <c r="G32" s="392"/>
      <c r="H32" s="392"/>
      <c r="I32" s="392"/>
      <c r="J32" s="393"/>
      <c r="L32" s="156"/>
      <c r="M32" s="114"/>
      <c r="N32" s="163"/>
      <c r="O32" s="149"/>
      <c r="P32" s="114"/>
      <c r="Q32" s="114"/>
      <c r="R32" s="116"/>
    </row>
    <row r="33" spans="1:19" ht="21" customHeight="1" x14ac:dyDescent="0.25">
      <c r="A33" s="260"/>
      <c r="B33" s="261" t="s">
        <v>0</v>
      </c>
      <c r="C33" s="262"/>
      <c r="D33" s="501"/>
      <c r="E33" s="502"/>
      <c r="F33" s="261" t="s">
        <v>114</v>
      </c>
      <c r="G33" s="263"/>
      <c r="H33" s="263"/>
      <c r="I33" s="263"/>
      <c r="J33" s="264"/>
      <c r="L33" s="147">
        <f>IF(A37="",0,IF(D33="",0,MIN(D33,L37)))</f>
        <v>0</v>
      </c>
      <c r="M33" s="112"/>
      <c r="N33" s="164"/>
      <c r="O33" s="180"/>
      <c r="P33" s="112"/>
      <c r="Q33" s="112"/>
      <c r="R33" s="117"/>
    </row>
    <row r="34" spans="1:19" ht="21" customHeight="1" x14ac:dyDescent="0.25">
      <c r="A34" s="265"/>
      <c r="B34" s="266" t="s">
        <v>2</v>
      </c>
      <c r="C34" s="267"/>
      <c r="D34" s="492"/>
      <c r="E34" s="493"/>
      <c r="F34" s="266" t="s">
        <v>114</v>
      </c>
      <c r="G34" s="268"/>
      <c r="H34" s="268"/>
      <c r="I34" s="268"/>
      <c r="J34" s="269"/>
      <c r="L34" s="155">
        <f>IF($D33&gt;D37,0,IF($D33+D34&lt;D37,D34,D37-$D33))</f>
        <v>0</v>
      </c>
      <c r="M34" s="113"/>
      <c r="N34" s="136"/>
      <c r="O34" s="149"/>
      <c r="P34" s="113"/>
      <c r="Q34" s="113"/>
      <c r="R34" s="118"/>
    </row>
    <row r="35" spans="1:19" ht="21" customHeight="1" x14ac:dyDescent="0.25">
      <c r="A35" s="265"/>
      <c r="B35" s="266" t="s">
        <v>3</v>
      </c>
      <c r="C35" s="267"/>
      <c r="D35" s="492"/>
      <c r="E35" s="493"/>
      <c r="F35" s="266" t="s">
        <v>114</v>
      </c>
      <c r="G35" s="268"/>
      <c r="H35" s="268"/>
      <c r="I35" s="268"/>
      <c r="J35" s="269"/>
      <c r="L35" s="155">
        <f>IF($D33+$D34&gt;D37,0,IF($D33+$D34+D35&lt;D37,D35,D37-$D33-$D34))</f>
        <v>0</v>
      </c>
      <c r="M35" s="113"/>
      <c r="N35" s="136"/>
      <c r="O35" s="149"/>
      <c r="P35" s="184" t="s">
        <v>72</v>
      </c>
      <c r="Q35" s="113"/>
      <c r="R35" s="118"/>
    </row>
    <row r="36" spans="1:19" ht="21" customHeight="1" x14ac:dyDescent="0.25">
      <c r="A36" s="270"/>
      <c r="B36" s="266" t="s">
        <v>1</v>
      </c>
      <c r="C36" s="267"/>
      <c r="D36" s="492"/>
      <c r="E36" s="493"/>
      <c r="F36" s="266" t="s">
        <v>114</v>
      </c>
      <c r="G36" s="268"/>
      <c r="H36" s="268"/>
      <c r="I36" s="268"/>
      <c r="J36" s="269"/>
      <c r="L36" s="155">
        <f>IF($D33+$D34+$D35&gt;D37,0,IF($D33+$D34+$D35+D36&lt;D37,D36,D37-$D33-$D34-$D35))</f>
        <v>0</v>
      </c>
      <c r="M36" s="113"/>
      <c r="N36" s="136"/>
      <c r="O36" s="149"/>
      <c r="P36" s="181" t="s">
        <v>66</v>
      </c>
      <c r="Q36" s="113"/>
      <c r="R36" s="118"/>
    </row>
    <row r="37" spans="1:19" ht="15" customHeight="1" thickBot="1" x14ac:dyDescent="0.3">
      <c r="A37" s="496" t="str">
        <f>IF('16号-1'!$W$17="","",IF('16号-1'!$W$17&gt;=3,(EOMONTH(A26,0)+1),""))</f>
        <v/>
      </c>
      <c r="B37" s="497" t="s">
        <v>9</v>
      </c>
      <c r="C37" s="498"/>
      <c r="D37" s="468">
        <f>IF($A$37="",0,IF(SUM(D33:E36)&lt;=$L$37,SUM(D33:E36),$L$37))</f>
        <v>0</v>
      </c>
      <c r="E37" s="469"/>
      <c r="F37" s="503" t="str">
        <f>IF('16号-1'!$Q$3=TRUE,"  ←　月計の上限額122,000円","  ←　月計の上限額97,000円")</f>
        <v xml:space="preserve">  ←　月計の上限額97,000円</v>
      </c>
      <c r="G37" s="504"/>
      <c r="H37" s="504"/>
      <c r="I37" s="505"/>
      <c r="J37" s="510"/>
      <c r="L37" s="151">
        <f>IF('16号-1'!$Q$3=TRUE,122000,97000)</f>
        <v>97000</v>
      </c>
      <c r="P37" s="182" t="s">
        <v>67</v>
      </c>
      <c r="R37" s="115"/>
    </row>
    <row r="38" spans="1:19" ht="30" customHeight="1" thickBot="1" x14ac:dyDescent="0.3">
      <c r="A38" s="496"/>
      <c r="B38" s="499"/>
      <c r="C38" s="500"/>
      <c r="D38" s="470"/>
      <c r="E38" s="471"/>
      <c r="F38" s="507" t="str">
        <f>IF($A37="","",IF(SUM(D33:E36)&gt;$L$15,"　(1)～(4)の月計が上限額を超えています",""))</f>
        <v/>
      </c>
      <c r="G38" s="508"/>
      <c r="H38" s="508"/>
      <c r="I38" s="508"/>
      <c r="J38" s="509"/>
      <c r="L38" s="152"/>
      <c r="M38" s="125" t="str">
        <f>A37</f>
        <v/>
      </c>
      <c r="N38" s="136"/>
      <c r="O38" s="149"/>
      <c r="P38" s="183" t="s">
        <v>68</v>
      </c>
      <c r="Q38" s="119"/>
      <c r="R38" s="120"/>
    </row>
    <row r="39" spans="1:19" ht="15" customHeight="1" thickBot="1" x14ac:dyDescent="0.3">
      <c r="A39" s="265"/>
      <c r="B39" s="477" t="s">
        <v>12</v>
      </c>
      <c r="C39" s="478"/>
      <c r="D39" s="481"/>
      <c r="E39" s="482"/>
      <c r="F39" s="485" t="str">
        <f>IF('16号-1'!$Q$3=TRUE,"  ←　年度上限　420,000円","  ←　年度上限　120,000円")</f>
        <v xml:space="preserve">  ←　年度上限　120,000円</v>
      </c>
      <c r="G39" s="486"/>
      <c r="H39" s="486"/>
      <c r="I39" s="487"/>
      <c r="J39" s="488"/>
      <c r="L39" s="236">
        <f>IF($A37="",0,IF(SUM(D33:E36)&lt;=$L37,SUM(D33:E36),$L37))</f>
        <v>0</v>
      </c>
      <c r="M39" s="237"/>
      <c r="N39" s="238">
        <f>IF($A37="",0,IF($D41="",0,MIN(30000,$D41)))</f>
        <v>0</v>
      </c>
      <c r="O39" s="239">
        <f>IF($A37="",0,IF($D39="",0,MIN($P39,$D39)))</f>
        <v>0</v>
      </c>
      <c r="P39" s="151">
        <f>IF('16号-1'!$Q$3=TRUE,420000,120000)</f>
        <v>120000</v>
      </c>
      <c r="Q39" s="228" t="str">
        <f>A37</f>
        <v/>
      </c>
      <c r="R39" s="109" t="str">
        <f>IFERROR(DATEDIF('16号-1'!$Z$10,M38,"M")+1,"")</f>
        <v/>
      </c>
      <c r="S39" s="89" t="str">
        <f>IF(R39="","",IF(R39&lt;13,"1年目","2年目"))</f>
        <v/>
      </c>
    </row>
    <row r="40" spans="1:19" ht="15" customHeight="1" thickBot="1" x14ac:dyDescent="0.3">
      <c r="A40" s="265"/>
      <c r="B40" s="479"/>
      <c r="C40" s="480"/>
      <c r="D40" s="483"/>
      <c r="E40" s="484"/>
      <c r="F40" s="489" t="str">
        <f>IF(D39="","",IF(D39&gt;P39,"　入力金額が年度上限を越えています",""))</f>
        <v/>
      </c>
      <c r="G40" s="490"/>
      <c r="H40" s="490"/>
      <c r="I40" s="490"/>
      <c r="J40" s="491"/>
      <c r="L40" s="165"/>
      <c r="M40" s="166"/>
      <c r="N40" s="136"/>
      <c r="O40" s="229"/>
      <c r="P40" s="230"/>
      <c r="Q40" s="228"/>
      <c r="R40" s="231"/>
    </row>
    <row r="41" spans="1:19" ht="15" customHeight="1" x14ac:dyDescent="0.25">
      <c r="A41" s="265"/>
      <c r="B41" s="477" t="s">
        <v>8</v>
      </c>
      <c r="C41" s="271"/>
      <c r="D41" s="481"/>
      <c r="E41" s="494"/>
      <c r="F41" s="272" t="s">
        <v>32</v>
      </c>
      <c r="G41" s="273"/>
      <c r="H41" s="273"/>
      <c r="I41" s="273"/>
      <c r="J41" s="274"/>
      <c r="L41" s="155"/>
      <c r="M41" s="113"/>
      <c r="N41" s="135"/>
      <c r="O41" s="162" t="s">
        <v>54</v>
      </c>
      <c r="P41" s="113"/>
      <c r="Q41" s="113"/>
      <c r="R41" s="121"/>
    </row>
    <row r="42" spans="1:19" ht="15" customHeight="1" x14ac:dyDescent="0.25">
      <c r="A42" s="265"/>
      <c r="B42" s="479"/>
      <c r="C42" s="275"/>
      <c r="D42" s="483"/>
      <c r="E42" s="495"/>
      <c r="F42" s="276" t="str">
        <f>IF(D41="","",IF(D41&gt;30000,"　入力金額が年度上限を越えています",""))</f>
        <v/>
      </c>
      <c r="G42" s="277"/>
      <c r="H42" s="277"/>
      <c r="I42" s="277"/>
      <c r="J42" s="278"/>
      <c r="L42" s="155"/>
      <c r="M42" s="113"/>
      <c r="N42" s="135"/>
      <c r="O42" s="162"/>
      <c r="P42" s="113"/>
      <c r="Q42" s="113"/>
      <c r="R42" s="115"/>
    </row>
    <row r="43" spans="1:19" ht="21" customHeight="1" thickBot="1" x14ac:dyDescent="0.3">
      <c r="A43" s="279"/>
      <c r="B43" s="472" t="str">
        <f>IF($A37="","月計",MONTH(A37)&amp;"月計")</f>
        <v>月計</v>
      </c>
      <c r="C43" s="473"/>
      <c r="D43" s="466">
        <f>SUM(L39:O39)</f>
        <v>0</v>
      </c>
      <c r="E43" s="467"/>
      <c r="F43" s="474"/>
      <c r="G43" s="475"/>
      <c r="H43" s="475"/>
      <c r="I43" s="475"/>
      <c r="J43" s="476"/>
      <c r="L43" s="156"/>
      <c r="M43" s="114"/>
      <c r="N43" s="167"/>
      <c r="O43" s="149"/>
      <c r="P43" s="114"/>
      <c r="Q43" s="114"/>
      <c r="R43" s="116"/>
    </row>
    <row r="44" spans="1:19" ht="21" customHeight="1" x14ac:dyDescent="0.25">
      <c r="A44" s="260"/>
      <c r="B44" s="261" t="s">
        <v>0</v>
      </c>
      <c r="C44" s="262"/>
      <c r="D44" s="501"/>
      <c r="E44" s="502"/>
      <c r="F44" s="261" t="s">
        <v>114</v>
      </c>
      <c r="G44" s="263"/>
      <c r="H44" s="263"/>
      <c r="I44" s="263"/>
      <c r="J44" s="264"/>
      <c r="L44" s="147">
        <f>IF(A48="",0,IF(D44="",0,MIN(D44,L48)))</f>
        <v>0</v>
      </c>
      <c r="M44" s="112"/>
      <c r="N44" s="168"/>
      <c r="O44" s="180"/>
      <c r="P44" s="112"/>
      <c r="Q44" s="112"/>
      <c r="R44" s="117"/>
    </row>
    <row r="45" spans="1:19" ht="21" customHeight="1" x14ac:dyDescent="0.25">
      <c r="A45" s="265"/>
      <c r="B45" s="266" t="s">
        <v>2</v>
      </c>
      <c r="C45" s="267"/>
      <c r="D45" s="492"/>
      <c r="E45" s="493"/>
      <c r="F45" s="266" t="s">
        <v>114</v>
      </c>
      <c r="G45" s="268"/>
      <c r="H45" s="268"/>
      <c r="I45" s="268"/>
      <c r="J45" s="269"/>
      <c r="L45" s="155">
        <f>IF($D44&gt;D48,0,IF($D44+D45&lt;D48,D45,D48-$D44))</f>
        <v>0</v>
      </c>
      <c r="M45" s="113"/>
      <c r="N45" s="136"/>
      <c r="O45" s="149"/>
      <c r="P45" s="113"/>
      <c r="Q45" s="113"/>
      <c r="R45" s="118"/>
    </row>
    <row r="46" spans="1:19" ht="21" customHeight="1" x14ac:dyDescent="0.25">
      <c r="A46" s="265"/>
      <c r="B46" s="266" t="s">
        <v>3</v>
      </c>
      <c r="C46" s="267"/>
      <c r="D46" s="492"/>
      <c r="E46" s="493"/>
      <c r="F46" s="266" t="s">
        <v>114</v>
      </c>
      <c r="G46" s="268"/>
      <c r="H46" s="268"/>
      <c r="I46" s="268"/>
      <c r="J46" s="269"/>
      <c r="L46" s="155">
        <f>IF($D44+$D45&gt;D48,0,IF($D44+$D45+D46&lt;D48,D46,D48-$D44-$D45))</f>
        <v>0</v>
      </c>
      <c r="M46" s="113"/>
      <c r="N46" s="136"/>
      <c r="O46" s="149"/>
      <c r="P46" s="184" t="s">
        <v>72</v>
      </c>
      <c r="Q46" s="113"/>
      <c r="R46" s="118"/>
    </row>
    <row r="47" spans="1:19" ht="21" customHeight="1" x14ac:dyDescent="0.25">
      <c r="A47" s="280"/>
      <c r="B47" s="266" t="s">
        <v>1</v>
      </c>
      <c r="C47" s="267"/>
      <c r="D47" s="492"/>
      <c r="E47" s="493"/>
      <c r="F47" s="266" t="s">
        <v>114</v>
      </c>
      <c r="G47" s="268"/>
      <c r="H47" s="268"/>
      <c r="I47" s="268"/>
      <c r="J47" s="269"/>
      <c r="L47" s="155">
        <f>IF($D44+$D45+$D46&gt;D48,0,IF($D44+$D45+$D46+D47&lt;D48,D47,D48-$D44-$D45-$D46))</f>
        <v>0</v>
      </c>
      <c r="M47" s="113"/>
      <c r="N47" s="136"/>
      <c r="O47" s="149"/>
      <c r="P47" s="181" t="s">
        <v>69</v>
      </c>
      <c r="Q47" s="113"/>
      <c r="R47" s="118"/>
    </row>
    <row r="48" spans="1:19" ht="15" customHeight="1" thickBot="1" x14ac:dyDescent="0.3">
      <c r="A48" s="496" t="str">
        <f>IF('16号-1'!$W$17="","",IF('16号-1'!$W$17&gt;=4,(EOMONTH(A37,0)+1),""))</f>
        <v/>
      </c>
      <c r="B48" s="497" t="s">
        <v>9</v>
      </c>
      <c r="C48" s="498"/>
      <c r="D48" s="468">
        <f>IF($A$48="",0,IF(SUM(D44:E47)&lt;=$L$48,SUM(D44:E47),$L$48))</f>
        <v>0</v>
      </c>
      <c r="E48" s="469"/>
      <c r="F48" s="503" t="str">
        <f>IF('16号-1'!$Q$3=TRUE,"  ←　月計の上限額122,000円","  ←　月計の上限額97,000円")</f>
        <v xml:space="preserve">  ←　月計の上限額97,000円</v>
      </c>
      <c r="G48" s="504"/>
      <c r="H48" s="504"/>
      <c r="I48" s="505"/>
      <c r="J48" s="506"/>
      <c r="L48" s="151">
        <f>IF('16号-1'!$Q$3=TRUE,122000,97000)</f>
        <v>97000</v>
      </c>
      <c r="M48" s="113"/>
      <c r="N48" s="136"/>
      <c r="O48" s="149"/>
      <c r="P48" s="182" t="s">
        <v>70</v>
      </c>
      <c r="Q48" s="113"/>
      <c r="R48" s="115"/>
    </row>
    <row r="49" spans="1:19" ht="30" customHeight="1" thickBot="1" x14ac:dyDescent="0.3">
      <c r="A49" s="496"/>
      <c r="B49" s="499"/>
      <c r="C49" s="500"/>
      <c r="D49" s="470"/>
      <c r="E49" s="471"/>
      <c r="F49" s="507" t="str">
        <f>IF($A48="","",IF(SUM(D44:E47)&gt;$L$15,"　(1)～(4)の月計が上限額を超えています",""))</f>
        <v/>
      </c>
      <c r="G49" s="508"/>
      <c r="H49" s="508"/>
      <c r="I49" s="508"/>
      <c r="J49" s="509"/>
      <c r="L49" s="152"/>
      <c r="M49" s="125" t="str">
        <f>A48</f>
        <v/>
      </c>
      <c r="N49" s="136"/>
      <c r="O49" s="149"/>
      <c r="P49" s="183" t="s">
        <v>71</v>
      </c>
      <c r="Q49" s="113"/>
      <c r="R49" s="120"/>
    </row>
    <row r="50" spans="1:19" ht="15" customHeight="1" thickBot="1" x14ac:dyDescent="0.3">
      <c r="A50" s="265"/>
      <c r="B50" s="477" t="s">
        <v>12</v>
      </c>
      <c r="C50" s="478"/>
      <c r="D50" s="481"/>
      <c r="E50" s="482"/>
      <c r="F50" s="485" t="str">
        <f>IF('16号-1'!$Q$3=TRUE,"  ←　年度上限　420,000円","  ←　年度上限　120,000円")</f>
        <v xml:space="preserve">  ←　年度上限　120,000円</v>
      </c>
      <c r="G50" s="486"/>
      <c r="H50" s="486"/>
      <c r="I50" s="487"/>
      <c r="J50" s="488"/>
      <c r="L50" s="236">
        <f>IF($A48="",0,IF(SUM(D44:E47)&lt;=$L48,SUM(D44:E47),$L48))</f>
        <v>0</v>
      </c>
      <c r="M50" s="237"/>
      <c r="N50" s="238">
        <f>IF($A48="",0,IF($D52="",0,MIN(30000,$D52)))</f>
        <v>0</v>
      </c>
      <c r="O50" s="239">
        <f>IF($A48="",0,IF($D50="",0,MIN($P50,$D50)))</f>
        <v>0</v>
      </c>
      <c r="P50" s="151">
        <f>IF('16号-1'!$Q$3=TRUE,420000,120000)</f>
        <v>120000</v>
      </c>
      <c r="Q50" s="228" t="str">
        <f>A48</f>
        <v/>
      </c>
      <c r="R50" s="109" t="str">
        <f>IFERROR(DATEDIF('16号-1'!$Z$10,M49,"M")+1,"")</f>
        <v/>
      </c>
      <c r="S50" s="89" t="str">
        <f>IF(R50="","",IF(R50&lt;13,"1年目","2年目"))</f>
        <v/>
      </c>
    </row>
    <row r="51" spans="1:19" ht="15" customHeight="1" thickBot="1" x14ac:dyDescent="0.3">
      <c r="A51" s="265"/>
      <c r="B51" s="479"/>
      <c r="C51" s="480"/>
      <c r="D51" s="483"/>
      <c r="E51" s="484"/>
      <c r="F51" s="489" t="str">
        <f>IF(D50="","",IF(D50&gt;P50,"　入力金額が年度上限を越えています",""))</f>
        <v/>
      </c>
      <c r="G51" s="490"/>
      <c r="H51" s="490"/>
      <c r="I51" s="490"/>
      <c r="J51" s="491"/>
      <c r="L51" s="169"/>
      <c r="M51" s="166"/>
      <c r="N51" s="136"/>
      <c r="O51" s="229"/>
      <c r="P51" s="230"/>
      <c r="Q51" s="228"/>
      <c r="R51" s="231"/>
    </row>
    <row r="52" spans="1:19" ht="15" customHeight="1" x14ac:dyDescent="0.25">
      <c r="A52" s="265"/>
      <c r="B52" s="477" t="s">
        <v>8</v>
      </c>
      <c r="C52" s="271"/>
      <c r="D52" s="481"/>
      <c r="E52" s="494"/>
      <c r="F52" s="272" t="s">
        <v>32</v>
      </c>
      <c r="G52" s="273"/>
      <c r="H52" s="273"/>
      <c r="I52" s="273"/>
      <c r="J52" s="274"/>
      <c r="L52" s="170"/>
      <c r="M52" s="113"/>
      <c r="N52" s="135"/>
      <c r="O52" s="162" t="s">
        <v>54</v>
      </c>
      <c r="P52" s="113"/>
      <c r="Q52" s="113"/>
      <c r="R52" s="121"/>
    </row>
    <row r="53" spans="1:19" ht="15" customHeight="1" x14ac:dyDescent="0.25">
      <c r="A53" s="265"/>
      <c r="B53" s="479"/>
      <c r="C53" s="275"/>
      <c r="D53" s="483"/>
      <c r="E53" s="495"/>
      <c r="F53" s="276" t="str">
        <f>IF(D52="","",IF(D52&gt;30000,"　入力金額が年度上限を越えています",""))</f>
        <v/>
      </c>
      <c r="G53" s="277"/>
      <c r="H53" s="277"/>
      <c r="I53" s="277"/>
      <c r="J53" s="278"/>
      <c r="L53" s="170"/>
      <c r="M53" s="113"/>
      <c r="N53" s="135"/>
      <c r="O53" s="162"/>
      <c r="P53" s="113"/>
      <c r="Q53" s="113"/>
      <c r="R53" s="115"/>
    </row>
    <row r="54" spans="1:19" ht="21" customHeight="1" thickBot="1" x14ac:dyDescent="0.3">
      <c r="A54" s="279"/>
      <c r="B54" s="472" t="str">
        <f>IF($A48="","月計",MONTH(A48)&amp;"月計")</f>
        <v>月計</v>
      </c>
      <c r="C54" s="473"/>
      <c r="D54" s="466">
        <f>SUM(L50:O50)</f>
        <v>0</v>
      </c>
      <c r="E54" s="467"/>
      <c r="F54" s="474"/>
      <c r="G54" s="475"/>
      <c r="H54" s="475"/>
      <c r="I54" s="475"/>
      <c r="J54" s="476"/>
      <c r="L54" s="171"/>
      <c r="M54" s="114"/>
      <c r="N54" s="167"/>
      <c r="O54" s="158"/>
      <c r="P54" s="114"/>
      <c r="Q54" s="114"/>
      <c r="R54" s="116"/>
    </row>
    <row r="55" spans="1:19" ht="21" customHeight="1" x14ac:dyDescent="0.25">
      <c r="A55" s="456" t="s">
        <v>49</v>
      </c>
      <c r="B55" s="31" t="s">
        <v>0</v>
      </c>
      <c r="C55" s="32"/>
      <c r="D55" s="442">
        <f>SUM(L11,L22,L33,L44)</f>
        <v>0</v>
      </c>
      <c r="E55" s="443"/>
      <c r="F55" s="450"/>
      <c r="G55" s="451"/>
      <c r="H55" s="451"/>
      <c r="I55" s="451"/>
      <c r="J55" s="452"/>
      <c r="L55" s="149" t="s">
        <v>102</v>
      </c>
      <c r="M55" s="136" t="s">
        <v>95</v>
      </c>
      <c r="N55" s="137" t="s">
        <v>96</v>
      </c>
      <c r="O55" s="245">
        <f>SUMIF(S17:S50,"1年目",O17:O50)</f>
        <v>0</v>
      </c>
      <c r="P55" s="255">
        <f>IF($M$6-Q57&gt;$P$17,$P$17,$M$6-Q57)</f>
        <v>120000</v>
      </c>
      <c r="Q55" s="244">
        <f>IF(SUM('16号-2①'!Q55,'16号-2②'!Q55,'16号-2③'!Q55)&gt;=P55,0,MIN(P55-SUM('16号-2①'!Q55,'16号-2②'!Q55,'16号-2③'!Q55),O55))</f>
        <v>0</v>
      </c>
    </row>
    <row r="56" spans="1:19" ht="21" customHeight="1" x14ac:dyDescent="0.25">
      <c r="A56" s="457"/>
      <c r="B56" s="36" t="s">
        <v>2</v>
      </c>
      <c r="C56" s="37"/>
      <c r="D56" s="440">
        <f>L12+L23+L34+L45</f>
        <v>0</v>
      </c>
      <c r="E56" s="441"/>
      <c r="F56" s="453"/>
      <c r="G56" s="454"/>
      <c r="H56" s="454"/>
      <c r="I56" s="454"/>
      <c r="J56" s="455"/>
      <c r="L56" s="144"/>
      <c r="N56" s="136" t="s">
        <v>97</v>
      </c>
      <c r="O56" s="245">
        <f>SUMIF(S17:S50,"2年目",O17:O50)</f>
        <v>0</v>
      </c>
      <c r="P56" s="255">
        <f>IF($M$6-Q58&gt;$P$17,$P$17,$M$6-Q58)</f>
        <v>120000</v>
      </c>
      <c r="Q56" s="244">
        <f>IF(SUM('16号-2①'!Q56,'16号-2②'!Q56,'16号-2③'!Q56)&gt;=P56,0,MIN(P56-SUM('16号-2①'!Q56,'16号-2②'!Q56,'16号-2③'!Q56),O56))</f>
        <v>0</v>
      </c>
    </row>
    <row r="57" spans="1:19" ht="21" customHeight="1" x14ac:dyDescent="0.25">
      <c r="A57" s="457"/>
      <c r="B57" s="36" t="s">
        <v>3</v>
      </c>
      <c r="C57" s="37"/>
      <c r="D57" s="440">
        <f>L13+L24+L35+L46</f>
        <v>0</v>
      </c>
      <c r="E57" s="441"/>
      <c r="F57" s="453"/>
      <c r="G57" s="454"/>
      <c r="H57" s="454"/>
      <c r="I57" s="454"/>
      <c r="J57" s="455"/>
      <c r="L57" s="144" t="s">
        <v>103</v>
      </c>
      <c r="M57" s="113" t="s">
        <v>104</v>
      </c>
      <c r="N57" s="137" t="s">
        <v>96</v>
      </c>
      <c r="O57" s="245">
        <f>SUMIF(S17:S50,"1年目",L17:L50)</f>
        <v>0</v>
      </c>
      <c r="P57" s="254"/>
      <c r="Q57" s="255">
        <f>IF(O57="",0,SUM('16号-2①'!O57,'16号-2②'!O57,'16号-2③'!O57,'16号-2④'!O57))</f>
        <v>0</v>
      </c>
    </row>
    <row r="58" spans="1:19" ht="21" customHeight="1" x14ac:dyDescent="0.25">
      <c r="A58" s="457"/>
      <c r="B58" s="36" t="s">
        <v>1</v>
      </c>
      <c r="C58" s="37"/>
      <c r="D58" s="440">
        <f>L14+L25+L36+L47</f>
        <v>0</v>
      </c>
      <c r="E58" s="441"/>
      <c r="F58" s="453"/>
      <c r="G58" s="454"/>
      <c r="H58" s="454"/>
      <c r="I58" s="454"/>
      <c r="J58" s="455"/>
      <c r="N58" s="136" t="s">
        <v>97</v>
      </c>
      <c r="O58" s="245">
        <f>SUMIF(S17:S51,"2年目",L17:L51)</f>
        <v>0</v>
      </c>
      <c r="P58" s="254"/>
      <c r="Q58" s="255">
        <f>IF(O58="",0,SUM('16号-2①'!O58,'16号-2②'!O58,'16号-2③'!O58,'16号-2④'!O58))</f>
        <v>0</v>
      </c>
    </row>
    <row r="59" spans="1:19" ht="21" customHeight="1" x14ac:dyDescent="0.25">
      <c r="A59" s="457"/>
      <c r="B59" s="461" t="s">
        <v>9</v>
      </c>
      <c r="C59" s="462"/>
      <c r="D59" s="436">
        <f>D15+D26+D37+D48</f>
        <v>0</v>
      </c>
      <c r="E59" s="437"/>
      <c r="F59" s="438" t="s">
        <v>77</v>
      </c>
      <c r="G59" s="439"/>
      <c r="H59" s="459" t="str">
        <f>IF('16号-1'!$Q$3=TRUE,"122,000円（※1）×月数","97,000円（※1）×月数")</f>
        <v>97,000円（※1）×月数</v>
      </c>
      <c r="I59" s="459"/>
      <c r="J59" s="460"/>
      <c r="L59" s="444"/>
      <c r="M59" s="446"/>
      <c r="N59" s="136"/>
      <c r="O59" s="144" t="s">
        <v>98</v>
      </c>
      <c r="P59" s="144" t="s">
        <v>99</v>
      </c>
      <c r="Q59" s="144" t="s">
        <v>101</v>
      </c>
    </row>
    <row r="60" spans="1:19" ht="21" customHeight="1" x14ac:dyDescent="0.25">
      <c r="A60" s="457"/>
      <c r="B60" s="36" t="s">
        <v>12</v>
      </c>
      <c r="C60" s="41"/>
      <c r="D60" s="440">
        <f>IF($A15="",0,SUM(Q55:Q56))</f>
        <v>0</v>
      </c>
      <c r="E60" s="441"/>
      <c r="F60" s="438" t="s">
        <v>78</v>
      </c>
      <c r="G60" s="439"/>
      <c r="H60" s="459" t="str">
        <f>IF('16号-1'!$Q$3=TRUE,"420,000円（※2）","120,000円（※2）")</f>
        <v>120,000円（※2）</v>
      </c>
      <c r="I60" s="459"/>
      <c r="J60" s="195"/>
      <c r="L60" s="445"/>
      <c r="M60" s="446"/>
      <c r="N60" s="136"/>
      <c r="O60" s="149"/>
      <c r="P60" s="113"/>
      <c r="Q60" s="258"/>
    </row>
    <row r="61" spans="1:19" ht="21" customHeight="1" x14ac:dyDescent="0.25">
      <c r="A61" s="457"/>
      <c r="B61" s="36" t="s">
        <v>8</v>
      </c>
      <c r="C61" s="41"/>
      <c r="D61" s="440">
        <f>IF($A15="",0,Q66)</f>
        <v>0</v>
      </c>
      <c r="E61" s="441"/>
      <c r="F61" s="124" t="s">
        <v>62</v>
      </c>
      <c r="G61" s="122"/>
      <c r="H61" s="122"/>
      <c r="I61" s="122"/>
      <c r="J61" s="98"/>
      <c r="L61" s="113"/>
      <c r="M61" s="113" t="s">
        <v>106</v>
      </c>
      <c r="N61" s="137" t="s">
        <v>96</v>
      </c>
      <c r="O61" s="259"/>
      <c r="P61" s="254"/>
      <c r="Q61" s="255">
        <f>SUM('16号-2④'!Q57,'16号-2①'!Q55,'16号-2②'!Q55,'16号-2③'!Q55,'16号-2④'!Q55)</f>
        <v>0</v>
      </c>
    </row>
    <row r="62" spans="1:19" ht="21.75" customHeight="1" thickBot="1" x14ac:dyDescent="0.3">
      <c r="A62" s="458"/>
      <c r="B62" s="412" t="s">
        <v>13</v>
      </c>
      <c r="C62" s="413"/>
      <c r="D62" s="431">
        <f>SUM(D59:E61)</f>
        <v>0</v>
      </c>
      <c r="E62" s="423"/>
      <c r="F62" s="99"/>
      <c r="G62" s="100"/>
      <c r="H62" s="100"/>
      <c r="I62" s="100"/>
      <c r="J62" s="101"/>
      <c r="N62" s="136" t="s">
        <v>97</v>
      </c>
      <c r="O62" s="259"/>
      <c r="P62" s="254"/>
      <c r="Q62" s="255">
        <f>SUM('16号-2④'!Q58,'16号-2①'!Q56,'16号-2②'!Q56,'16号-2③'!Q56,'16号-2④'!Q56)</f>
        <v>0</v>
      </c>
    </row>
    <row r="63" spans="1:19" ht="6.75" customHeight="1" x14ac:dyDescent="0.25">
      <c r="A63" s="199"/>
      <c r="B63" s="200"/>
      <c r="C63" s="200"/>
      <c r="D63" s="201"/>
      <c r="E63" s="201"/>
      <c r="F63" s="202"/>
      <c r="G63" s="202"/>
      <c r="H63" s="202"/>
      <c r="I63" s="202"/>
      <c r="J63" s="203"/>
    </row>
    <row r="64" spans="1:19" ht="15.75" customHeight="1" x14ac:dyDescent="0.25">
      <c r="A64" s="205" t="str">
        <f>CONCATENATE("※1 月額上限",IF('16号-1'!$Q$3=TRUE,"122,000円","97,000円"))</f>
        <v>※1 月額上限97,000円</v>
      </c>
      <c r="B64" s="200"/>
      <c r="C64" s="200"/>
      <c r="D64" s="201"/>
      <c r="E64" s="201"/>
      <c r="F64" s="202"/>
      <c r="G64" s="202"/>
      <c r="H64" s="202"/>
      <c r="I64" s="202"/>
      <c r="J64" s="203"/>
      <c r="K64" s="204"/>
      <c r="Q64" s="144" t="s">
        <v>101</v>
      </c>
    </row>
    <row r="65" spans="1:17" ht="15.75" customHeight="1" x14ac:dyDescent="0.25">
      <c r="A65" s="205" t="str">
        <f>CONCATENATE("※2 年間上限",IF('16号-1'!$Q$3=TRUE,"420,000円","120,000円"))</f>
        <v>※2 年間上限120,000円</v>
      </c>
      <c r="B65" s="196"/>
      <c r="C65" s="196"/>
      <c r="D65" s="196"/>
      <c r="E65" s="196"/>
      <c r="F65" s="196"/>
      <c r="G65" s="196"/>
      <c r="H65" s="196"/>
      <c r="I65" s="196"/>
      <c r="J65" s="196"/>
      <c r="N65" s="88"/>
    </row>
    <row r="66" spans="1:17" ht="15.75" customHeight="1" x14ac:dyDescent="0.25">
      <c r="A66" s="205" t="str">
        <f>CONCATENATE("（※1※2の合計は年間上限",IF('16号-1'!$Q$3=TRUE,"1,500,000円","1,200,000円"),"）")</f>
        <v>（※1※2の合計は年間上限1,200,000円）</v>
      </c>
      <c r="B66" s="196"/>
      <c r="C66" s="196"/>
      <c r="D66" s="196"/>
      <c r="E66" s="196"/>
      <c r="F66" s="196"/>
      <c r="G66" s="196"/>
      <c r="H66" s="196"/>
      <c r="I66" s="196"/>
      <c r="J66" s="196"/>
      <c r="K66" s="107"/>
      <c r="L66" s="144" t="s">
        <v>116</v>
      </c>
      <c r="M66" s="88" t="s">
        <v>115</v>
      </c>
      <c r="N66" s="137" t="s">
        <v>117</v>
      </c>
      <c r="O66" s="287">
        <f>SUM(N17:N50)</f>
        <v>0</v>
      </c>
      <c r="P66" s="255">
        <v>180000</v>
      </c>
      <c r="Q66" s="244">
        <f>IF(SUM('16号-2①'!Q66,'16号-2②'!Q66,'16号-2③'!Q66)&gt;=P66,0,MIN(P66-SUM('16号-2①'!Q66,'16号-2②'!Q66,'16号-2③'!Q66),O66))</f>
        <v>0</v>
      </c>
    </row>
    <row r="67" spans="1:17" ht="21.95" customHeight="1" x14ac:dyDescent="0.25">
      <c r="A67" s="196"/>
      <c r="B67" s="196"/>
      <c r="C67" s="196"/>
      <c r="D67" s="196"/>
      <c r="E67" s="196"/>
      <c r="F67" s="196"/>
      <c r="G67" s="196"/>
      <c r="H67" s="196"/>
      <c r="I67" s="196"/>
      <c r="J67" s="196"/>
      <c r="N67" s="88"/>
    </row>
    <row r="68" spans="1:17" ht="9.75" customHeight="1" x14ac:dyDescent="0.25">
      <c r="A68" s="196"/>
      <c r="B68" s="196"/>
      <c r="C68" s="196"/>
      <c r="D68" s="196"/>
      <c r="E68" s="196"/>
      <c r="F68" s="196"/>
      <c r="G68" s="196"/>
      <c r="H68" s="196"/>
      <c r="I68" s="196"/>
      <c r="J68" s="196"/>
      <c r="N68" s="88"/>
    </row>
  </sheetData>
  <sheetProtection algorithmName="SHA-512" hashValue="s4bKwm+akDlqHZ4F+ny4wf14Xv31kTnGRYni2PkOpvJJjd4Ne3n9QSOorfOR+nZ4yrEx20odpoTYTtkSBs1b4A==" saltValue="LqE8aJkhzvo1ff6WJ+BrUg==" spinCount="100000" sheet="1" objects="1" selectLockedCells="1"/>
  <mergeCells count="107">
    <mergeCell ref="L59:L60"/>
    <mergeCell ref="M59:M60"/>
    <mergeCell ref="L6:L7"/>
    <mergeCell ref="M6:M7"/>
    <mergeCell ref="A15:A16"/>
    <mergeCell ref="B15:C16"/>
    <mergeCell ref="D15:E16"/>
    <mergeCell ref="B4:H4"/>
    <mergeCell ref="C6:J6"/>
    <mergeCell ref="C7:J7"/>
    <mergeCell ref="C8:D8"/>
    <mergeCell ref="F8:G8"/>
    <mergeCell ref="B10:C10"/>
    <mergeCell ref="D10:E10"/>
    <mergeCell ref="F10:J10"/>
    <mergeCell ref="F15:J15"/>
    <mergeCell ref="F16:J16"/>
    <mergeCell ref="B17:C18"/>
    <mergeCell ref="D17:E18"/>
    <mergeCell ref="F17:H17"/>
    <mergeCell ref="I17:J17"/>
    <mergeCell ref="F18:J18"/>
    <mergeCell ref="D11:E11"/>
    <mergeCell ref="D12:E12"/>
    <mergeCell ref="B28:C29"/>
    <mergeCell ref="D28:E29"/>
    <mergeCell ref="F28:H28"/>
    <mergeCell ref="I28:J28"/>
    <mergeCell ref="F29:J29"/>
    <mergeCell ref="D23:E23"/>
    <mergeCell ref="D24:E24"/>
    <mergeCell ref="D25:E25"/>
    <mergeCell ref="D13:E13"/>
    <mergeCell ref="D14:E14"/>
    <mergeCell ref="B19:B20"/>
    <mergeCell ref="D19:E20"/>
    <mergeCell ref="B21:C21"/>
    <mergeCell ref="D21:E21"/>
    <mergeCell ref="F21:J21"/>
    <mergeCell ref="D22:E22"/>
    <mergeCell ref="F26:H26"/>
    <mergeCell ref="I26:J26"/>
    <mergeCell ref="A26:A27"/>
    <mergeCell ref="B26:C27"/>
    <mergeCell ref="D26:E27"/>
    <mergeCell ref="B39:C40"/>
    <mergeCell ref="D39:E40"/>
    <mergeCell ref="F39:H39"/>
    <mergeCell ref="I39:J39"/>
    <mergeCell ref="F40:J40"/>
    <mergeCell ref="D34:E34"/>
    <mergeCell ref="D35:E35"/>
    <mergeCell ref="D36:E36"/>
    <mergeCell ref="A37:A38"/>
    <mergeCell ref="B37:C38"/>
    <mergeCell ref="D37:E38"/>
    <mergeCell ref="B30:B31"/>
    <mergeCell ref="D30:E31"/>
    <mergeCell ref="B32:C32"/>
    <mergeCell ref="D32:E32"/>
    <mergeCell ref="F32:J32"/>
    <mergeCell ref="D33:E33"/>
    <mergeCell ref="F37:H37"/>
    <mergeCell ref="I37:J37"/>
    <mergeCell ref="F38:J38"/>
    <mergeCell ref="F27:J27"/>
    <mergeCell ref="A48:A49"/>
    <mergeCell ref="B48:C49"/>
    <mergeCell ref="D48:E49"/>
    <mergeCell ref="B41:B42"/>
    <mergeCell ref="D41:E42"/>
    <mergeCell ref="B43:C43"/>
    <mergeCell ref="D43:E43"/>
    <mergeCell ref="F43:J43"/>
    <mergeCell ref="D44:E44"/>
    <mergeCell ref="F48:H48"/>
    <mergeCell ref="I48:J48"/>
    <mergeCell ref="F49:J49"/>
    <mergeCell ref="B50:C51"/>
    <mergeCell ref="D50:E51"/>
    <mergeCell ref="F50:H50"/>
    <mergeCell ref="I50:J50"/>
    <mergeCell ref="F51:J51"/>
    <mergeCell ref="D45:E45"/>
    <mergeCell ref="D46:E46"/>
    <mergeCell ref="D47:E47"/>
    <mergeCell ref="B52:B53"/>
    <mergeCell ref="D52:E53"/>
    <mergeCell ref="B54:C54"/>
    <mergeCell ref="D54:E54"/>
    <mergeCell ref="F54:J54"/>
    <mergeCell ref="A55:A62"/>
    <mergeCell ref="D55:E55"/>
    <mergeCell ref="F55:J58"/>
    <mergeCell ref="D56:E56"/>
    <mergeCell ref="D57:E57"/>
    <mergeCell ref="D61:E61"/>
    <mergeCell ref="B62:C62"/>
    <mergeCell ref="D62:E62"/>
    <mergeCell ref="D58:E58"/>
    <mergeCell ref="B59:C59"/>
    <mergeCell ref="D59:E59"/>
    <mergeCell ref="F59:G59"/>
    <mergeCell ref="H59:J59"/>
    <mergeCell ref="D60:E60"/>
    <mergeCell ref="F60:G60"/>
    <mergeCell ref="H60:I60"/>
  </mergeCells>
  <phoneticPr fontId="2"/>
  <conditionalFormatting sqref="A44:J54">
    <cfRule type="expression" dxfId="4" priority="5">
      <formula>$A$48=""</formula>
    </cfRule>
  </conditionalFormatting>
  <conditionalFormatting sqref="A33:J43">
    <cfRule type="expression" dxfId="3" priority="4">
      <formula>$A$37=""</formula>
    </cfRule>
  </conditionalFormatting>
  <conditionalFormatting sqref="A11:J21">
    <cfRule type="expression" dxfId="2" priority="3">
      <formula>$A$15=""</formula>
    </cfRule>
  </conditionalFormatting>
  <conditionalFormatting sqref="A22:J32">
    <cfRule type="expression" dxfId="1" priority="2">
      <formula>$A$26=""</formula>
    </cfRule>
  </conditionalFormatting>
  <conditionalFormatting sqref="A55:J62">
    <cfRule type="expression" dxfId="0" priority="1">
      <formula>AND($A$15="",$A$26="",$A$37="",$A$48="")</formula>
    </cfRule>
  </conditionalFormatting>
  <dataValidations count="3">
    <dataValidation type="whole" allowBlank="1" showInputMessage="1" showErrorMessage="1" errorTitle="入力値が不正です" error="月上限額を超えている、またはテキストが入力されています_x000a__x000a__x000a_" sqref="D33:E36 D11:E14 D22:E25 D44:E47" xr:uid="{95CE6D99-A9B9-4E2B-8972-5714D046E83B}">
      <formula1>0</formula1>
      <formula2>$L$15</formula2>
    </dataValidation>
    <dataValidation type="whole" allowBlank="1" showInputMessage="1" showErrorMessage="1" errorTitle="入力値が不正です" error="月上限額を超えている、またはテキストが入力されています" sqref="D19:E20 D30:E31 D41:E42 D52:E53" xr:uid="{090BDD94-2181-446A-864B-C9C2FBE4CBBB}">
      <formula1>0</formula1>
      <formula2>30000</formula2>
    </dataValidation>
    <dataValidation type="whole" allowBlank="1" showInputMessage="1" showErrorMessage="1" errorTitle="入力値が不正です" error="年上限額を超えている、またはテキストが入力されています_x000a_" sqref="D17:E18 D28:E29 D39:E40 D50:E51" xr:uid="{700F22E3-E469-4A85-AC70-8BCB24829726}">
      <formula1>0</formula1>
      <formula2>$P$17</formula2>
    </dataValidation>
  </dataValidations>
  <printOptions horizontalCentered="1" verticalCentered="1"/>
  <pageMargins left="0.15748031496062992" right="0.15748031496062992" top="0.27559055118110237" bottom="0.27559055118110237" header="0.15748031496062992" footer="0.15748031496062992"/>
  <pageSetup paperSize="9" scale="71" fitToWidth="0" orientation="portrait" blackAndWhite="1" r:id="rId1"/>
  <headerFooter>
    <oddHeader xml:space="preserve">&amp;R&amp;10
. </oddHeader>
    <oddFooter>&amp;L&amp;10　.&amp;CPC版&amp;R&amp;8.</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16号-1</vt:lpstr>
      <vt:lpstr>16号-2①</vt:lpstr>
      <vt:lpstr>16号-2②</vt:lpstr>
      <vt:lpstr>16号-2③</vt:lpstr>
      <vt:lpstr>16号-2④</vt:lpstr>
      <vt:lpstr>'16号-1'!Print_Area</vt:lpstr>
      <vt:lpstr>'16号-2①'!Print_Area</vt:lpstr>
      <vt:lpstr>'16号-2②'!Print_Area</vt:lpstr>
      <vt:lpstr>'16号-2③'!Print_Area</vt:lpstr>
      <vt:lpstr>'16号-2④'!Print_Area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i</cp:lastModifiedBy>
  <cp:lastPrinted>2021-08-10T06:24:53Z</cp:lastPrinted>
  <dcterms:created xsi:type="dcterms:W3CDTF">2002-01-11T03:29:33Z</dcterms:created>
  <dcterms:modified xsi:type="dcterms:W3CDTF">2021-09-09T07:49:28Z</dcterms:modified>
</cp:coreProperties>
</file>